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3770" windowWidth="15270" windowHeight="2130" activeTab="4"/>
  </bookViews>
  <sheets>
    <sheet name="Record" sheetId="61" r:id="rId1"/>
    <sheet name="1." sheetId="8" r:id="rId2"/>
    <sheet name="Year" sheetId="56" r:id="rId3"/>
    <sheet name="Months" sheetId="58" r:id="rId4"/>
    <sheet name="Mother" sheetId="63" r:id="rId5"/>
    <sheet name="Farm" sheetId="36" r:id="rId6"/>
    <sheet name="Family" sheetId="22" r:id="rId7"/>
    <sheet name="List" sheetId="32" r:id="rId8"/>
    <sheet name="Medi" sheetId="57" r:id="rId9"/>
  </sheets>
  <definedNames>
    <definedName name="Born">List!$F$12:$F$14</definedName>
    <definedName name="Family">List!$D$7:$D$21</definedName>
    <definedName name="Farm">List!$H$7:$H$12</definedName>
    <definedName name="Father">List!$K$7:$K$8</definedName>
    <definedName name="Male">List!$F$7:$F$9</definedName>
    <definedName name="Male_Male">List!$L$7:$L$11</definedName>
    <definedName name="Mothers">List!$I$7:$I$50</definedName>
  </definedNames>
  <calcPr calcId="145621"/>
</workbook>
</file>

<file path=xl/calcChain.xml><?xml version="1.0" encoding="utf-8"?>
<calcChain xmlns="http://schemas.openxmlformats.org/spreadsheetml/2006/main">
  <c r="U76" i="36" l="1"/>
  <c r="W76" i="36"/>
  <c r="U77" i="36"/>
  <c r="W77" i="36"/>
  <c r="U78" i="36"/>
  <c r="W78" i="36"/>
  <c r="B39" i="57"/>
  <c r="C39" i="57"/>
  <c r="D39" i="57"/>
  <c r="B40" i="57"/>
  <c r="C40" i="57"/>
  <c r="D40" i="57"/>
  <c r="B41" i="57"/>
  <c r="C41" i="57"/>
  <c r="D41" i="57"/>
  <c r="B42" i="57"/>
  <c r="C42" i="57"/>
  <c r="D42" i="57"/>
  <c r="U78" i="22"/>
  <c r="Q78" i="63"/>
  <c r="Q6" i="63"/>
  <c r="Q7" i="63"/>
  <c r="Q8" i="63"/>
  <c r="Q9" i="63"/>
  <c r="Q10" i="63"/>
  <c r="Q11" i="63"/>
  <c r="Q12" i="63"/>
  <c r="Q13" i="63"/>
  <c r="Q14" i="63"/>
  <c r="Q15" i="63"/>
  <c r="Q16" i="63"/>
  <c r="Q17" i="63"/>
  <c r="Q18" i="63"/>
  <c r="Q19" i="63"/>
  <c r="Q20" i="63"/>
  <c r="Q21" i="63"/>
  <c r="Q22" i="63"/>
  <c r="Q23" i="63"/>
  <c r="Q24" i="63"/>
  <c r="Q25" i="63"/>
  <c r="Q26" i="63"/>
  <c r="Q27" i="63"/>
  <c r="Q28" i="63"/>
  <c r="Q29" i="63"/>
  <c r="Q30" i="63"/>
  <c r="Q31" i="63"/>
  <c r="Q32" i="63"/>
  <c r="Q33" i="63"/>
  <c r="Q34" i="63"/>
  <c r="Q35" i="63"/>
  <c r="Q36" i="63"/>
  <c r="Q37" i="63"/>
  <c r="Q38" i="63"/>
  <c r="Q39" i="63"/>
  <c r="Q40" i="63"/>
  <c r="Q41" i="63"/>
  <c r="Q42" i="63"/>
  <c r="Q43" i="63"/>
  <c r="Q44" i="63"/>
  <c r="Q45" i="63"/>
  <c r="Q46" i="63"/>
  <c r="Q47" i="63"/>
  <c r="Q48" i="63"/>
  <c r="Q49" i="63"/>
  <c r="Q50" i="63"/>
  <c r="Q51" i="63"/>
  <c r="Q52" i="63"/>
  <c r="Q53" i="63"/>
  <c r="Q54" i="63"/>
  <c r="Q55" i="63"/>
  <c r="Q56" i="63"/>
  <c r="Q57" i="63"/>
  <c r="Q58" i="63"/>
  <c r="Q59" i="63"/>
  <c r="Q60" i="63"/>
  <c r="Q61" i="63"/>
  <c r="Q62" i="63"/>
  <c r="Q63" i="63"/>
  <c r="Q64" i="63"/>
  <c r="Q65" i="63"/>
  <c r="Q66" i="63"/>
  <c r="Q67" i="63"/>
  <c r="Q68" i="63"/>
  <c r="Q69" i="63"/>
  <c r="Q70" i="63"/>
  <c r="Q71" i="63"/>
  <c r="Q72" i="63"/>
  <c r="Q73" i="63"/>
  <c r="Q74" i="63"/>
  <c r="Q75" i="63"/>
  <c r="Q76" i="63"/>
  <c r="Q77" i="63"/>
  <c r="N81" i="61"/>
  <c r="E42" i="57" s="1"/>
  <c r="O81" i="61"/>
  <c r="U81" i="61"/>
  <c r="U6" i="22" l="1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75" i="22"/>
  <c r="U76" i="22"/>
  <c r="U77" i="22"/>
  <c r="N80" i="61"/>
  <c r="E41" i="57" s="1"/>
  <c r="O80" i="61"/>
  <c r="U80" i="61"/>
  <c r="N79" i="61"/>
  <c r="E40" i="57" s="1"/>
  <c r="O79" i="61"/>
  <c r="U79" i="61"/>
  <c r="W75" i="36" l="1"/>
  <c r="U75" i="36"/>
  <c r="U78" i="61"/>
  <c r="V78" i="61"/>
  <c r="O78" i="61"/>
  <c r="N78" i="61"/>
  <c r="E39" i="57" s="1"/>
  <c r="O10" i="61" l="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8" i="61"/>
  <c r="O39" i="61"/>
  <c r="O40" i="61"/>
  <c r="O41" i="61"/>
  <c r="O42" i="61"/>
  <c r="O43" i="61"/>
  <c r="O44" i="61"/>
  <c r="O45" i="61"/>
  <c r="O46" i="61"/>
  <c r="O47" i="61"/>
  <c r="O48" i="61"/>
  <c r="O49" i="61"/>
  <c r="O50" i="61"/>
  <c r="O51" i="61"/>
  <c r="O52" i="61"/>
  <c r="O53" i="61"/>
  <c r="O54" i="61"/>
  <c r="O55" i="61"/>
  <c r="O56" i="61"/>
  <c r="O57" i="61"/>
  <c r="O58" i="61"/>
  <c r="O59" i="61"/>
  <c r="O60" i="61"/>
  <c r="O61" i="61"/>
  <c r="O62" i="61"/>
  <c r="O63" i="61"/>
  <c r="O64" i="61"/>
  <c r="O65" i="61"/>
  <c r="O66" i="61"/>
  <c r="O67" i="61"/>
  <c r="O68" i="61"/>
  <c r="O69" i="61"/>
  <c r="O70" i="61"/>
  <c r="O71" i="61"/>
  <c r="O72" i="61"/>
  <c r="O73" i="61"/>
  <c r="O74" i="61"/>
  <c r="O75" i="61"/>
  <c r="O76" i="61"/>
  <c r="O77" i="61"/>
  <c r="V14" i="61"/>
  <c r="V15" i="61"/>
  <c r="V16" i="61"/>
  <c r="V17" i="61"/>
  <c r="V18" i="61"/>
  <c r="V19" i="61"/>
  <c r="V20" i="61"/>
  <c r="V21" i="61"/>
  <c r="V22" i="61"/>
  <c r="V23" i="61"/>
  <c r="V24" i="61"/>
  <c r="V25" i="61"/>
  <c r="V26" i="61"/>
  <c r="V27" i="61"/>
  <c r="V28" i="61"/>
  <c r="V29" i="61"/>
  <c r="V30" i="61"/>
  <c r="V31" i="61"/>
  <c r="V32" i="61"/>
  <c r="V33" i="61"/>
  <c r="V34" i="61"/>
  <c r="V35" i="61"/>
  <c r="V36" i="61"/>
  <c r="V37" i="61"/>
  <c r="V38" i="61"/>
  <c r="V39" i="61"/>
  <c r="V40" i="61"/>
  <c r="V41" i="61"/>
  <c r="V42" i="61"/>
  <c r="V43" i="61"/>
  <c r="V44" i="61"/>
  <c r="V45" i="61"/>
  <c r="V46" i="61"/>
  <c r="V47" i="61"/>
  <c r="V48" i="61"/>
  <c r="V49" i="61"/>
  <c r="V50" i="61"/>
  <c r="V51" i="61"/>
  <c r="V52" i="61"/>
  <c r="V53" i="61"/>
  <c r="V54" i="61"/>
  <c r="V55" i="61"/>
  <c r="V56" i="61"/>
  <c r="V57" i="61"/>
  <c r="V58" i="61"/>
  <c r="V59" i="61"/>
  <c r="V60" i="61"/>
  <c r="V61" i="61"/>
  <c r="V62" i="61"/>
  <c r="V63" i="61"/>
  <c r="V64" i="61"/>
  <c r="V65" i="61"/>
  <c r="V66" i="61"/>
  <c r="V67" i="61"/>
  <c r="V68" i="61"/>
  <c r="V69" i="61"/>
  <c r="V70" i="61"/>
  <c r="V71" i="61"/>
  <c r="V72" i="61"/>
  <c r="V73" i="61"/>
  <c r="V74" i="61"/>
  <c r="V75" i="61"/>
  <c r="V76" i="61"/>
  <c r="V77" i="61"/>
  <c r="V8" i="61"/>
  <c r="V9" i="61"/>
  <c r="V10" i="61"/>
  <c r="V11" i="61"/>
  <c r="V12" i="61"/>
  <c r="V13" i="61"/>
  <c r="M5" i="63" l="1"/>
  <c r="J12" i="63" s="1"/>
  <c r="J5" i="63"/>
  <c r="M12" i="63" l="1"/>
  <c r="W6" i="36"/>
  <c r="W7" i="36"/>
  <c r="W8" i="36"/>
  <c r="N13" i="36" s="1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W34" i="36"/>
  <c r="W35" i="36"/>
  <c r="W36" i="36"/>
  <c r="W37" i="36"/>
  <c r="W38" i="36"/>
  <c r="W39" i="36"/>
  <c r="W40" i="36"/>
  <c r="W41" i="36"/>
  <c r="W42" i="36"/>
  <c r="W43" i="36"/>
  <c r="W44" i="36"/>
  <c r="W45" i="36"/>
  <c r="W46" i="36"/>
  <c r="W47" i="36"/>
  <c r="W48" i="36"/>
  <c r="W49" i="36"/>
  <c r="W50" i="36"/>
  <c r="W51" i="36"/>
  <c r="W52" i="36"/>
  <c r="W53" i="36"/>
  <c r="W54" i="36"/>
  <c r="W55" i="36"/>
  <c r="W56" i="36"/>
  <c r="W57" i="36"/>
  <c r="W58" i="36"/>
  <c r="W59" i="36"/>
  <c r="W60" i="36"/>
  <c r="W61" i="36"/>
  <c r="W62" i="36"/>
  <c r="W63" i="36"/>
  <c r="W64" i="36"/>
  <c r="W65" i="36"/>
  <c r="W66" i="36"/>
  <c r="W67" i="36"/>
  <c r="W68" i="36"/>
  <c r="W69" i="36"/>
  <c r="W70" i="36"/>
  <c r="W71" i="36"/>
  <c r="W72" i="36"/>
  <c r="W73" i="36"/>
  <c r="W74" i="36"/>
  <c r="W5" i="36"/>
  <c r="N14" i="36"/>
  <c r="N15" i="36"/>
  <c r="N17" i="36"/>
  <c r="L17" i="32"/>
  <c r="B3" i="61"/>
  <c r="N16" i="36" l="1"/>
  <c r="I2" i="56"/>
  <c r="K2" i="56"/>
  <c r="E4" i="56"/>
  <c r="E3" i="56"/>
  <c r="G4" i="56"/>
  <c r="G3" i="56"/>
  <c r="M2" i="56"/>
  <c r="M4" i="56"/>
  <c r="M3" i="56"/>
  <c r="K4" i="56"/>
  <c r="K3" i="56"/>
  <c r="I4" i="56"/>
  <c r="I3" i="56"/>
  <c r="C3" i="56"/>
  <c r="C2" i="56"/>
  <c r="C4" i="56"/>
  <c r="D4" i="57"/>
  <c r="C29" i="57"/>
  <c r="C31" i="57"/>
  <c r="C33" i="57"/>
  <c r="C35" i="57"/>
  <c r="B37" i="57"/>
  <c r="B38" i="57"/>
  <c r="B27" i="57"/>
  <c r="B28" i="57"/>
  <c r="B29" i="57"/>
  <c r="B30" i="57"/>
  <c r="B31" i="57"/>
  <c r="B32" i="57"/>
  <c r="B33" i="57"/>
  <c r="B34" i="57"/>
  <c r="B36" i="57"/>
  <c r="C5" i="57"/>
  <c r="D5" i="57"/>
  <c r="C6" i="57"/>
  <c r="D6" i="57"/>
  <c r="C7" i="57"/>
  <c r="D7" i="57"/>
  <c r="C8" i="57"/>
  <c r="D8" i="57"/>
  <c r="C9" i="57"/>
  <c r="D9" i="57"/>
  <c r="C10" i="57"/>
  <c r="D10" i="57"/>
  <c r="C11" i="57"/>
  <c r="D11" i="57"/>
  <c r="C12" i="57"/>
  <c r="D12" i="57"/>
  <c r="C13" i="57"/>
  <c r="D13" i="57"/>
  <c r="C14" i="57"/>
  <c r="D14" i="57"/>
  <c r="C15" i="57"/>
  <c r="D15" i="57"/>
  <c r="C16" i="57"/>
  <c r="D16" i="57"/>
  <c r="C17" i="57"/>
  <c r="D17" i="57"/>
  <c r="C18" i="57"/>
  <c r="D18" i="57"/>
  <c r="C19" i="57"/>
  <c r="D19" i="57"/>
  <c r="C20" i="57"/>
  <c r="D20" i="57"/>
  <c r="C21" i="57"/>
  <c r="D21" i="57"/>
  <c r="C22" i="57"/>
  <c r="D22" i="57"/>
  <c r="C23" i="57"/>
  <c r="D23" i="57"/>
  <c r="C24" i="57"/>
  <c r="D24" i="57"/>
  <c r="C25" i="57"/>
  <c r="D25" i="57"/>
  <c r="C26" i="57"/>
  <c r="D26" i="57"/>
  <c r="C27" i="57"/>
  <c r="D27" i="57"/>
  <c r="C28" i="57"/>
  <c r="D28" i="57"/>
  <c r="D29" i="57"/>
  <c r="C30" i="57"/>
  <c r="D30" i="57"/>
  <c r="C32" i="57"/>
  <c r="D32" i="57"/>
  <c r="C34" i="57"/>
  <c r="D34" i="57"/>
  <c r="D35" i="57"/>
  <c r="C36" i="57"/>
  <c r="D36" i="57"/>
  <c r="B5" i="57"/>
  <c r="B6" i="57"/>
  <c r="B7" i="57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C4" i="57" l="1"/>
  <c r="B4" i="57"/>
  <c r="D38" i="57"/>
  <c r="C38" i="57"/>
  <c r="D37" i="57"/>
  <c r="D33" i="57"/>
  <c r="C37" i="57"/>
  <c r="D31" i="57"/>
  <c r="B35" i="57"/>
  <c r="K3" i="61"/>
  <c r="M3" i="61"/>
  <c r="L3" i="61"/>
  <c r="J3" i="61"/>
  <c r="I3" i="61"/>
  <c r="G3" i="61"/>
  <c r="F3" i="61"/>
  <c r="E3" i="61"/>
  <c r="D3" i="61"/>
  <c r="O9" i="61"/>
  <c r="O8" i="61"/>
  <c r="T78" i="58" l="1"/>
  <c r="S78" i="58"/>
  <c r="R78" i="58"/>
  <c r="Q78" i="58"/>
  <c r="P78" i="58"/>
  <c r="O78" i="58"/>
  <c r="T77" i="58"/>
  <c r="S77" i="58"/>
  <c r="R77" i="58"/>
  <c r="Q77" i="58"/>
  <c r="P77" i="58"/>
  <c r="O77" i="58"/>
  <c r="T76" i="58"/>
  <c r="S76" i="58"/>
  <c r="R76" i="58"/>
  <c r="Q76" i="58"/>
  <c r="P76" i="58"/>
  <c r="O76" i="58"/>
  <c r="T75" i="58"/>
  <c r="S75" i="58"/>
  <c r="R75" i="58"/>
  <c r="Q75" i="58"/>
  <c r="P75" i="58"/>
  <c r="O75" i="58"/>
  <c r="T74" i="58"/>
  <c r="S74" i="58"/>
  <c r="R74" i="58"/>
  <c r="Q74" i="58"/>
  <c r="P74" i="58"/>
  <c r="O74" i="58"/>
  <c r="T73" i="58"/>
  <c r="S73" i="58"/>
  <c r="R73" i="58"/>
  <c r="Q73" i="58"/>
  <c r="P73" i="58"/>
  <c r="O73" i="58"/>
  <c r="T72" i="58"/>
  <c r="S72" i="58"/>
  <c r="R72" i="58"/>
  <c r="Q72" i="58"/>
  <c r="P72" i="58"/>
  <c r="O72" i="58"/>
  <c r="T71" i="58"/>
  <c r="S71" i="58"/>
  <c r="R71" i="58"/>
  <c r="Q71" i="58"/>
  <c r="P71" i="58"/>
  <c r="O71" i="58"/>
  <c r="T70" i="58"/>
  <c r="S70" i="58"/>
  <c r="R70" i="58"/>
  <c r="Q70" i="58"/>
  <c r="P70" i="58"/>
  <c r="O70" i="58"/>
  <c r="T69" i="58"/>
  <c r="S69" i="58"/>
  <c r="R69" i="58"/>
  <c r="Q69" i="58"/>
  <c r="P69" i="58"/>
  <c r="O69" i="58"/>
  <c r="T68" i="58"/>
  <c r="S68" i="58"/>
  <c r="R68" i="58"/>
  <c r="Q68" i="58"/>
  <c r="P68" i="58"/>
  <c r="O68" i="58"/>
  <c r="T67" i="58"/>
  <c r="S67" i="58"/>
  <c r="R67" i="58"/>
  <c r="Q67" i="58"/>
  <c r="P67" i="58"/>
  <c r="O67" i="58"/>
  <c r="N78" i="58"/>
  <c r="J78" i="58"/>
  <c r="I78" i="58"/>
  <c r="H78" i="58"/>
  <c r="G78" i="58"/>
  <c r="F78" i="58"/>
  <c r="E78" i="58"/>
  <c r="D78" i="58"/>
  <c r="J77" i="58"/>
  <c r="I77" i="58"/>
  <c r="H77" i="58"/>
  <c r="G77" i="58"/>
  <c r="F77" i="58"/>
  <c r="E77" i="58"/>
  <c r="J76" i="58"/>
  <c r="I76" i="58"/>
  <c r="H76" i="58"/>
  <c r="G76" i="58"/>
  <c r="F76" i="58"/>
  <c r="E76" i="58"/>
  <c r="J75" i="58"/>
  <c r="I75" i="58"/>
  <c r="H75" i="58"/>
  <c r="G75" i="58"/>
  <c r="F75" i="58"/>
  <c r="E75" i="58"/>
  <c r="J74" i="58"/>
  <c r="I74" i="58"/>
  <c r="H74" i="58"/>
  <c r="G74" i="58"/>
  <c r="F74" i="58"/>
  <c r="E74" i="58"/>
  <c r="J73" i="58"/>
  <c r="I73" i="58"/>
  <c r="H73" i="58"/>
  <c r="G73" i="58"/>
  <c r="F73" i="58"/>
  <c r="E73" i="58"/>
  <c r="J72" i="58"/>
  <c r="I72" i="58"/>
  <c r="H72" i="58"/>
  <c r="G72" i="58"/>
  <c r="F72" i="58"/>
  <c r="E72" i="58"/>
  <c r="J71" i="58"/>
  <c r="I71" i="58"/>
  <c r="H71" i="58"/>
  <c r="G71" i="58"/>
  <c r="F71" i="58"/>
  <c r="E71" i="58"/>
  <c r="J70" i="58"/>
  <c r="I70" i="58"/>
  <c r="H70" i="58"/>
  <c r="G70" i="58"/>
  <c r="F70" i="58"/>
  <c r="E70" i="58"/>
  <c r="J69" i="58"/>
  <c r="I69" i="58"/>
  <c r="H69" i="58"/>
  <c r="G69" i="58"/>
  <c r="F69" i="58"/>
  <c r="E69" i="58"/>
  <c r="J68" i="58"/>
  <c r="I68" i="58"/>
  <c r="H68" i="58"/>
  <c r="G68" i="58"/>
  <c r="F68" i="58"/>
  <c r="E68" i="58"/>
  <c r="J67" i="58"/>
  <c r="I67" i="58"/>
  <c r="H67" i="58"/>
  <c r="G67" i="58"/>
  <c r="F67" i="58"/>
  <c r="E67" i="58"/>
  <c r="T46" i="58"/>
  <c r="S46" i="58"/>
  <c r="R46" i="58"/>
  <c r="Q46" i="58"/>
  <c r="P46" i="58"/>
  <c r="O46" i="58"/>
  <c r="N46" i="58"/>
  <c r="T45" i="58"/>
  <c r="S45" i="58"/>
  <c r="R45" i="58"/>
  <c r="Q45" i="58"/>
  <c r="P45" i="58"/>
  <c r="O45" i="58"/>
  <c r="T44" i="58"/>
  <c r="S44" i="58"/>
  <c r="R44" i="58"/>
  <c r="Q44" i="58"/>
  <c r="P44" i="58"/>
  <c r="O44" i="58"/>
  <c r="T43" i="58"/>
  <c r="S43" i="58"/>
  <c r="R43" i="58"/>
  <c r="Q43" i="58"/>
  <c r="P43" i="58"/>
  <c r="O43" i="58"/>
  <c r="T42" i="58"/>
  <c r="S42" i="58"/>
  <c r="R42" i="58"/>
  <c r="Q42" i="58"/>
  <c r="P42" i="58"/>
  <c r="O42" i="58"/>
  <c r="T41" i="58"/>
  <c r="S41" i="58"/>
  <c r="R41" i="58"/>
  <c r="Q41" i="58"/>
  <c r="P41" i="58"/>
  <c r="O41" i="58"/>
  <c r="T40" i="58"/>
  <c r="S40" i="58"/>
  <c r="R40" i="58"/>
  <c r="Q40" i="58"/>
  <c r="P40" i="58"/>
  <c r="O40" i="58"/>
  <c r="T39" i="58"/>
  <c r="S39" i="58"/>
  <c r="R39" i="58"/>
  <c r="Q39" i="58"/>
  <c r="P39" i="58"/>
  <c r="O39" i="58"/>
  <c r="T38" i="58"/>
  <c r="S38" i="58"/>
  <c r="R38" i="58"/>
  <c r="Q38" i="58"/>
  <c r="P38" i="58"/>
  <c r="O38" i="58"/>
  <c r="T37" i="58"/>
  <c r="S37" i="58"/>
  <c r="R37" i="58"/>
  <c r="Q37" i="58"/>
  <c r="P37" i="58"/>
  <c r="O37" i="58"/>
  <c r="T36" i="58"/>
  <c r="S36" i="58"/>
  <c r="R36" i="58"/>
  <c r="Q36" i="58"/>
  <c r="P36" i="58"/>
  <c r="O36" i="58"/>
  <c r="T35" i="58"/>
  <c r="S35" i="58"/>
  <c r="R35" i="58"/>
  <c r="Q35" i="58"/>
  <c r="P35" i="58"/>
  <c r="O35" i="58"/>
  <c r="J46" i="58"/>
  <c r="I46" i="58"/>
  <c r="H46" i="58"/>
  <c r="G46" i="58"/>
  <c r="F46" i="58"/>
  <c r="E46" i="58"/>
  <c r="D46" i="58"/>
  <c r="J45" i="58"/>
  <c r="I45" i="58"/>
  <c r="H45" i="58"/>
  <c r="G45" i="58"/>
  <c r="F45" i="58"/>
  <c r="E45" i="58"/>
  <c r="J44" i="58"/>
  <c r="I44" i="58"/>
  <c r="H44" i="58"/>
  <c r="G44" i="58"/>
  <c r="F44" i="58"/>
  <c r="E44" i="58"/>
  <c r="J43" i="58"/>
  <c r="I43" i="58"/>
  <c r="H43" i="58"/>
  <c r="G43" i="58"/>
  <c r="F43" i="58"/>
  <c r="E43" i="58"/>
  <c r="J42" i="58"/>
  <c r="I42" i="58"/>
  <c r="H42" i="58"/>
  <c r="G42" i="58"/>
  <c r="F42" i="58"/>
  <c r="E42" i="58"/>
  <c r="J41" i="58"/>
  <c r="I41" i="58"/>
  <c r="H41" i="58"/>
  <c r="G41" i="58"/>
  <c r="F41" i="58"/>
  <c r="E41" i="58"/>
  <c r="J40" i="58"/>
  <c r="I40" i="58"/>
  <c r="H40" i="58"/>
  <c r="G40" i="58"/>
  <c r="F40" i="58"/>
  <c r="E40" i="58"/>
  <c r="J39" i="58"/>
  <c r="I39" i="58"/>
  <c r="H39" i="58"/>
  <c r="G39" i="58"/>
  <c r="F39" i="58"/>
  <c r="E39" i="58"/>
  <c r="J38" i="58"/>
  <c r="I38" i="58"/>
  <c r="H38" i="58"/>
  <c r="G38" i="58"/>
  <c r="F38" i="58"/>
  <c r="E38" i="58"/>
  <c r="J37" i="58"/>
  <c r="I37" i="58"/>
  <c r="H37" i="58"/>
  <c r="G37" i="58"/>
  <c r="F37" i="58"/>
  <c r="E37" i="58"/>
  <c r="J36" i="58"/>
  <c r="I36" i="58"/>
  <c r="H36" i="58"/>
  <c r="G36" i="58"/>
  <c r="F36" i="58"/>
  <c r="E36" i="58"/>
  <c r="J35" i="58"/>
  <c r="I35" i="58"/>
  <c r="H35" i="58"/>
  <c r="G35" i="58"/>
  <c r="F35" i="58"/>
  <c r="E35" i="58"/>
  <c r="T30" i="58"/>
  <c r="S30" i="58"/>
  <c r="R30" i="58"/>
  <c r="Q30" i="58"/>
  <c r="P30" i="58"/>
  <c r="O30" i="58"/>
  <c r="N30" i="58"/>
  <c r="T29" i="58"/>
  <c r="S29" i="58"/>
  <c r="R29" i="58"/>
  <c r="Q29" i="58"/>
  <c r="P29" i="58"/>
  <c r="O29" i="58"/>
  <c r="T28" i="58"/>
  <c r="S28" i="58"/>
  <c r="R28" i="58"/>
  <c r="Q28" i="58"/>
  <c r="P28" i="58"/>
  <c r="O28" i="58"/>
  <c r="T27" i="58"/>
  <c r="S27" i="58"/>
  <c r="R27" i="58"/>
  <c r="Q27" i="58"/>
  <c r="P27" i="58"/>
  <c r="O27" i="58"/>
  <c r="T26" i="58"/>
  <c r="S26" i="58"/>
  <c r="R26" i="58"/>
  <c r="Q26" i="58"/>
  <c r="P26" i="58"/>
  <c r="O26" i="58"/>
  <c r="T25" i="58"/>
  <c r="S25" i="58"/>
  <c r="R25" i="58"/>
  <c r="Q25" i="58"/>
  <c r="P25" i="58"/>
  <c r="O25" i="58"/>
  <c r="T24" i="58"/>
  <c r="S24" i="58"/>
  <c r="R24" i="58"/>
  <c r="Q24" i="58"/>
  <c r="P24" i="58"/>
  <c r="O24" i="58"/>
  <c r="T23" i="58"/>
  <c r="S23" i="58"/>
  <c r="R23" i="58"/>
  <c r="Q23" i="58"/>
  <c r="P23" i="58"/>
  <c r="O23" i="58"/>
  <c r="T22" i="58"/>
  <c r="S22" i="58"/>
  <c r="R22" i="58"/>
  <c r="Q22" i="58"/>
  <c r="P22" i="58"/>
  <c r="O22" i="58"/>
  <c r="T21" i="58"/>
  <c r="S21" i="58"/>
  <c r="R21" i="58"/>
  <c r="Q21" i="58"/>
  <c r="P21" i="58"/>
  <c r="O21" i="58"/>
  <c r="T20" i="58"/>
  <c r="S20" i="58"/>
  <c r="R20" i="58"/>
  <c r="Q20" i="58"/>
  <c r="P20" i="58"/>
  <c r="O20" i="58"/>
  <c r="T19" i="58"/>
  <c r="S19" i="58"/>
  <c r="R19" i="58"/>
  <c r="Q19" i="58"/>
  <c r="P19" i="58"/>
  <c r="O19" i="58"/>
  <c r="D30" i="58"/>
  <c r="J30" i="58"/>
  <c r="J29" i="58"/>
  <c r="J28" i="58"/>
  <c r="J27" i="58"/>
  <c r="J26" i="58"/>
  <c r="J25" i="58"/>
  <c r="J24" i="58"/>
  <c r="J23" i="58"/>
  <c r="J22" i="58"/>
  <c r="J21" i="58"/>
  <c r="J20" i="58"/>
  <c r="J19" i="58"/>
  <c r="I30" i="58"/>
  <c r="I29" i="58"/>
  <c r="I28" i="58"/>
  <c r="I27" i="58"/>
  <c r="I26" i="58"/>
  <c r="I25" i="58"/>
  <c r="I24" i="58"/>
  <c r="I23" i="58"/>
  <c r="I22" i="58"/>
  <c r="I21" i="58"/>
  <c r="I20" i="58"/>
  <c r="I19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G14" i="58"/>
  <c r="H14" i="58"/>
  <c r="R3" i="58"/>
  <c r="R7" i="58"/>
  <c r="R5" i="58"/>
  <c r="O5" i="58"/>
  <c r="O7" i="58"/>
  <c r="O3" i="58"/>
  <c r="F14" i="58"/>
  <c r="H13" i="58"/>
  <c r="G13" i="58"/>
  <c r="F13" i="58"/>
  <c r="H12" i="58"/>
  <c r="G12" i="58"/>
  <c r="F12" i="58"/>
  <c r="H11" i="58"/>
  <c r="G11" i="58"/>
  <c r="F11" i="58"/>
  <c r="H10" i="58"/>
  <c r="G10" i="58"/>
  <c r="F10" i="58"/>
  <c r="H9" i="58"/>
  <c r="G9" i="58"/>
  <c r="F9" i="58"/>
  <c r="H8" i="58"/>
  <c r="G8" i="58"/>
  <c r="F8" i="58"/>
  <c r="H7" i="58"/>
  <c r="G7" i="58"/>
  <c r="F7" i="58"/>
  <c r="H6" i="58"/>
  <c r="G6" i="58"/>
  <c r="F6" i="58"/>
  <c r="H5" i="58"/>
  <c r="G5" i="58"/>
  <c r="F5" i="58"/>
  <c r="H4" i="58"/>
  <c r="G4" i="58"/>
  <c r="F4" i="58"/>
  <c r="J14" i="58"/>
  <c r="J13" i="58"/>
  <c r="J12" i="58"/>
  <c r="J11" i="58"/>
  <c r="J10" i="58"/>
  <c r="J9" i="58"/>
  <c r="J8" i="58"/>
  <c r="J7" i="58"/>
  <c r="J6" i="58"/>
  <c r="J5" i="58"/>
  <c r="J4" i="58"/>
  <c r="J3" i="58"/>
  <c r="I14" i="58"/>
  <c r="I13" i="58"/>
  <c r="I12" i="58"/>
  <c r="I11" i="58"/>
  <c r="I10" i="58"/>
  <c r="I9" i="58"/>
  <c r="I8" i="58"/>
  <c r="I7" i="58"/>
  <c r="I6" i="58"/>
  <c r="I5" i="58"/>
  <c r="I4" i="58"/>
  <c r="I3" i="58"/>
  <c r="H3" i="58"/>
  <c r="G3" i="58"/>
  <c r="F3" i="58"/>
  <c r="D14" i="58"/>
  <c r="E14" i="58"/>
  <c r="E13" i="58"/>
  <c r="E12" i="58"/>
  <c r="E11" i="58"/>
  <c r="E10" i="58"/>
  <c r="E9" i="58"/>
  <c r="E8" i="58"/>
  <c r="E7" i="58"/>
  <c r="E6" i="58"/>
  <c r="E5" i="58"/>
  <c r="E4" i="58"/>
  <c r="E3" i="58"/>
  <c r="U10" i="61"/>
  <c r="U11" i="61"/>
  <c r="U12" i="61"/>
  <c r="U13" i="61"/>
  <c r="U14" i="61"/>
  <c r="U15" i="61"/>
  <c r="U16" i="61"/>
  <c r="U17" i="61"/>
  <c r="U18" i="61"/>
  <c r="U19" i="61"/>
  <c r="U20" i="61"/>
  <c r="U21" i="61"/>
  <c r="U22" i="61"/>
  <c r="U23" i="61"/>
  <c r="U24" i="61"/>
  <c r="U25" i="61"/>
  <c r="U26" i="61"/>
  <c r="U27" i="61"/>
  <c r="U28" i="61"/>
  <c r="U29" i="61"/>
  <c r="U30" i="61"/>
  <c r="U31" i="61"/>
  <c r="U32" i="61"/>
  <c r="U33" i="61"/>
  <c r="U34" i="61"/>
  <c r="U35" i="61"/>
  <c r="U36" i="61"/>
  <c r="U37" i="61"/>
  <c r="U38" i="61"/>
  <c r="U39" i="61"/>
  <c r="U40" i="61"/>
  <c r="U41" i="61"/>
  <c r="U42" i="61"/>
  <c r="U43" i="61"/>
  <c r="U44" i="61"/>
  <c r="U45" i="61"/>
  <c r="U46" i="61"/>
  <c r="U47" i="61"/>
  <c r="U48" i="61"/>
  <c r="U49" i="61"/>
  <c r="U50" i="61"/>
  <c r="U51" i="61"/>
  <c r="U52" i="61"/>
  <c r="U53" i="61"/>
  <c r="U54" i="61"/>
  <c r="U55" i="61"/>
  <c r="U56" i="61"/>
  <c r="U57" i="61"/>
  <c r="U58" i="61"/>
  <c r="U59" i="61"/>
  <c r="U60" i="61"/>
  <c r="U61" i="61"/>
  <c r="U62" i="61"/>
  <c r="U63" i="61"/>
  <c r="U64" i="61"/>
  <c r="U65" i="61"/>
  <c r="U66" i="61"/>
  <c r="U67" i="61"/>
  <c r="U68" i="61"/>
  <c r="U69" i="61"/>
  <c r="U70" i="61"/>
  <c r="U71" i="61"/>
  <c r="U72" i="61"/>
  <c r="U73" i="61"/>
  <c r="U74" i="61"/>
  <c r="U75" i="61"/>
  <c r="U76" i="61"/>
  <c r="U77" i="61"/>
  <c r="U9" i="61"/>
  <c r="U8" i="61"/>
  <c r="U6" i="36"/>
  <c r="U7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U34" i="36"/>
  <c r="U35" i="36"/>
  <c r="U36" i="36"/>
  <c r="U37" i="36"/>
  <c r="U38" i="36"/>
  <c r="U39" i="36"/>
  <c r="U40" i="36"/>
  <c r="U41" i="36"/>
  <c r="U42" i="36"/>
  <c r="U43" i="36"/>
  <c r="U44" i="36"/>
  <c r="U45" i="36"/>
  <c r="U46" i="36"/>
  <c r="U47" i="36"/>
  <c r="U48" i="36"/>
  <c r="U49" i="36"/>
  <c r="U50" i="36"/>
  <c r="U51" i="36"/>
  <c r="U52" i="36"/>
  <c r="U53" i="36"/>
  <c r="U54" i="36"/>
  <c r="U55" i="36"/>
  <c r="U56" i="36"/>
  <c r="U57" i="36"/>
  <c r="U58" i="36"/>
  <c r="U59" i="36"/>
  <c r="U60" i="36"/>
  <c r="U61" i="36"/>
  <c r="U62" i="36"/>
  <c r="U63" i="36"/>
  <c r="U64" i="36"/>
  <c r="U65" i="36"/>
  <c r="U66" i="36"/>
  <c r="U67" i="36"/>
  <c r="U68" i="36"/>
  <c r="U69" i="36"/>
  <c r="U70" i="36"/>
  <c r="U71" i="36"/>
  <c r="U72" i="36"/>
  <c r="U73" i="36"/>
  <c r="U74" i="36"/>
  <c r="U5" i="36"/>
  <c r="U5" i="22"/>
  <c r="Q5" i="63"/>
  <c r="B22" i="63" l="1"/>
  <c r="B7" i="63"/>
  <c r="B10" i="63"/>
  <c r="B18" i="63"/>
  <c r="B9" i="63"/>
  <c r="B14" i="63"/>
  <c r="B8" i="63"/>
  <c r="B21" i="63"/>
  <c r="B20" i="63"/>
  <c r="B19" i="63"/>
  <c r="B17" i="63"/>
  <c r="B16" i="63"/>
  <c r="B15" i="63"/>
  <c r="B13" i="63"/>
  <c r="B12" i="63"/>
  <c r="B11" i="63"/>
  <c r="P14" i="36"/>
  <c r="P15" i="36"/>
  <c r="P16" i="36"/>
  <c r="P17" i="36"/>
  <c r="P18" i="36"/>
  <c r="P13" i="36"/>
  <c r="O14" i="36"/>
  <c r="O15" i="36"/>
  <c r="O16" i="36"/>
  <c r="O17" i="36"/>
  <c r="O18" i="36"/>
  <c r="O13" i="36"/>
  <c r="N18" i="36"/>
  <c r="N51" i="61"/>
  <c r="E16" i="57" s="1"/>
  <c r="N49" i="61"/>
  <c r="N54" i="61"/>
  <c r="E17" i="57" s="1"/>
  <c r="N60" i="61"/>
  <c r="N59" i="61"/>
  <c r="E21" i="57" s="1"/>
  <c r="N58" i="61"/>
  <c r="N57" i="61"/>
  <c r="E19" i="57" s="1"/>
  <c r="N56" i="61"/>
  <c r="E18" i="57" s="1"/>
  <c r="N63" i="61"/>
  <c r="E24" i="57" s="1"/>
  <c r="N64" i="61"/>
  <c r="E25" i="57" s="1"/>
  <c r="N65" i="61"/>
  <c r="N66" i="61"/>
  <c r="E27" i="57" s="1"/>
  <c r="N67" i="61"/>
  <c r="N68" i="61"/>
  <c r="N69" i="61"/>
  <c r="E30" i="57" s="1"/>
  <c r="N70" i="61"/>
  <c r="E31" i="57" s="1"/>
  <c r="N71" i="61"/>
  <c r="E32" i="57" s="1"/>
  <c r="N72" i="61"/>
  <c r="E33" i="57" s="1"/>
  <c r="N73" i="61"/>
  <c r="N74" i="61"/>
  <c r="E35" i="57" s="1"/>
  <c r="N75" i="61"/>
  <c r="E36" i="57" s="1"/>
  <c r="N76" i="61"/>
  <c r="E37" i="57" s="1"/>
  <c r="N77" i="61"/>
  <c r="E38" i="57" s="1"/>
  <c r="N62" i="61"/>
  <c r="E23" i="57" s="1"/>
  <c r="N44" i="61"/>
  <c r="E14" i="57" s="1"/>
  <c r="N41" i="61"/>
  <c r="E13" i="57" s="1"/>
  <c r="N34" i="61"/>
  <c r="N30" i="61"/>
  <c r="N29" i="61"/>
  <c r="N27" i="61"/>
  <c r="N26" i="61"/>
  <c r="E8" i="57" s="1"/>
  <c r="N19" i="61"/>
  <c r="E7" i="57" s="1"/>
  <c r="N12" i="61"/>
  <c r="E5" i="57" s="1"/>
  <c r="N9" i="61"/>
  <c r="E4" i="57" s="1"/>
  <c r="N13" i="61"/>
  <c r="E6" i="57" s="1"/>
  <c r="L5" i="22"/>
  <c r="O19" i="22" s="1"/>
  <c r="N10" i="61"/>
  <c r="N11" i="61"/>
  <c r="N14" i="61"/>
  <c r="N15" i="61"/>
  <c r="N16" i="61"/>
  <c r="N17" i="61"/>
  <c r="N18" i="61"/>
  <c r="N20" i="61"/>
  <c r="N21" i="61"/>
  <c r="N22" i="61"/>
  <c r="N23" i="61"/>
  <c r="N24" i="61"/>
  <c r="N25" i="61"/>
  <c r="N28" i="61"/>
  <c r="N31" i="61"/>
  <c r="N32" i="61"/>
  <c r="N33" i="61"/>
  <c r="N35" i="61"/>
  <c r="N36" i="61"/>
  <c r="N37" i="61"/>
  <c r="N38" i="61"/>
  <c r="N39" i="61"/>
  <c r="N40" i="61"/>
  <c r="N42" i="61"/>
  <c r="N43" i="61"/>
  <c r="N45" i="61"/>
  <c r="N46" i="61"/>
  <c r="N47" i="61"/>
  <c r="N48" i="61"/>
  <c r="N50" i="61"/>
  <c r="N52" i="61"/>
  <c r="N53" i="61"/>
  <c r="N55" i="61"/>
  <c r="N61" i="61"/>
  <c r="N8" i="61"/>
  <c r="J5" i="36"/>
  <c r="M14" i="36"/>
  <c r="M15" i="36"/>
  <c r="M16" i="36"/>
  <c r="M17" i="36"/>
  <c r="M18" i="36"/>
  <c r="M13" i="36"/>
  <c r="K14" i="63" l="1"/>
  <c r="F7" i="63"/>
  <c r="M10" i="63"/>
  <c r="E15" i="57"/>
  <c r="G13" i="63"/>
  <c r="G12" i="63"/>
  <c r="F22" i="63"/>
  <c r="H22" i="63"/>
  <c r="C22" i="63"/>
  <c r="E22" i="63"/>
  <c r="G22" i="63"/>
  <c r="D22" i="63"/>
  <c r="D15" i="63"/>
  <c r="G15" i="63"/>
  <c r="F15" i="63"/>
  <c r="C15" i="63"/>
  <c r="E15" i="63"/>
  <c r="H15" i="63"/>
  <c r="F16" i="63"/>
  <c r="G16" i="63"/>
  <c r="H16" i="63"/>
  <c r="E16" i="63"/>
  <c r="C16" i="63"/>
  <c r="D16" i="63"/>
  <c r="D17" i="63"/>
  <c r="F17" i="63"/>
  <c r="E17" i="63"/>
  <c r="H17" i="63"/>
  <c r="C17" i="63"/>
  <c r="G17" i="63"/>
  <c r="C19" i="63"/>
  <c r="D19" i="63"/>
  <c r="E19" i="63"/>
  <c r="F19" i="63"/>
  <c r="G19" i="63"/>
  <c r="H19" i="63"/>
  <c r="C20" i="63"/>
  <c r="D20" i="63"/>
  <c r="E20" i="63"/>
  <c r="F20" i="63"/>
  <c r="H20" i="63"/>
  <c r="G20" i="63"/>
  <c r="C21" i="63"/>
  <c r="E21" i="63"/>
  <c r="H21" i="63"/>
  <c r="G21" i="63"/>
  <c r="F21" i="63"/>
  <c r="D21" i="63"/>
  <c r="C8" i="63"/>
  <c r="F8" i="63"/>
  <c r="D8" i="63"/>
  <c r="E8" i="63"/>
  <c r="H8" i="63"/>
  <c r="C14" i="63"/>
  <c r="G14" i="63"/>
  <c r="D14" i="63"/>
  <c r="E14" i="63"/>
  <c r="F14" i="63"/>
  <c r="H14" i="63"/>
  <c r="H9" i="63"/>
  <c r="F9" i="63"/>
  <c r="E9" i="63"/>
  <c r="C9" i="63"/>
  <c r="D9" i="63"/>
  <c r="E11" i="63"/>
  <c r="F11" i="63"/>
  <c r="D11" i="63"/>
  <c r="H11" i="63"/>
  <c r="C11" i="63"/>
  <c r="C18" i="63"/>
  <c r="D18" i="63"/>
  <c r="E18" i="63"/>
  <c r="H18" i="63"/>
  <c r="F18" i="63"/>
  <c r="G18" i="63"/>
  <c r="C12" i="63"/>
  <c r="D12" i="63"/>
  <c r="E12" i="63"/>
  <c r="F12" i="63"/>
  <c r="H12" i="63"/>
  <c r="F10" i="63"/>
  <c r="C10" i="63"/>
  <c r="D10" i="63"/>
  <c r="E10" i="63"/>
  <c r="H10" i="63"/>
  <c r="C13" i="63"/>
  <c r="D13" i="63"/>
  <c r="F13" i="63"/>
  <c r="E13" i="63"/>
  <c r="H13" i="63"/>
  <c r="E34" i="57"/>
  <c r="G11" i="63"/>
  <c r="E12" i="57"/>
  <c r="G10" i="63"/>
  <c r="E20" i="57"/>
  <c r="G8" i="63"/>
  <c r="E26" i="57"/>
  <c r="G9" i="63"/>
  <c r="E10" i="57"/>
  <c r="E11" i="57"/>
  <c r="E9" i="57"/>
  <c r="E29" i="57"/>
  <c r="E28" i="57"/>
  <c r="E22" i="57"/>
  <c r="H7" i="63"/>
  <c r="G7" i="63"/>
  <c r="E7" i="63"/>
  <c r="D7" i="63"/>
  <c r="C7" i="63"/>
  <c r="B8" i="36"/>
  <c r="G8" i="36" s="1"/>
  <c r="B9" i="36"/>
  <c r="B7" i="36"/>
  <c r="C7" i="36" s="1"/>
  <c r="M9" i="63" l="1"/>
  <c r="K10" i="63"/>
  <c r="K9" i="63"/>
  <c r="K7" i="63"/>
  <c r="M7" i="63"/>
  <c r="G9" i="36"/>
  <c r="H9" i="36"/>
  <c r="D9" i="36"/>
  <c r="C9" i="36"/>
  <c r="E9" i="36"/>
  <c r="F9" i="36"/>
  <c r="E8" i="36"/>
  <c r="H8" i="36"/>
  <c r="F8" i="36"/>
  <c r="C8" i="36"/>
  <c r="D8" i="36"/>
  <c r="F7" i="36"/>
  <c r="H7" i="36"/>
  <c r="G7" i="36"/>
  <c r="D7" i="36"/>
  <c r="E7" i="36"/>
  <c r="T7" i="58" l="1"/>
  <c r="T5" i="58"/>
  <c r="T3" i="58"/>
  <c r="U3" i="58" l="1"/>
  <c r="U5" i="58"/>
  <c r="U7" i="58"/>
  <c r="N31" i="58"/>
  <c r="M68" i="58" l="1"/>
  <c r="M70" i="58"/>
  <c r="M72" i="58"/>
  <c r="M69" i="58"/>
  <c r="M74" i="58"/>
  <c r="N79" i="58"/>
  <c r="H79" i="58"/>
  <c r="D79" i="58"/>
  <c r="D47" i="58"/>
  <c r="N47" i="58"/>
  <c r="M52" i="58"/>
  <c r="M53" i="58"/>
  <c r="M54" i="58"/>
  <c r="M55" i="58"/>
  <c r="M56" i="58"/>
  <c r="M57" i="58"/>
  <c r="M58" i="58"/>
  <c r="M59" i="58"/>
  <c r="M60" i="58"/>
  <c r="M61" i="58"/>
  <c r="M62" i="58"/>
  <c r="M51" i="58"/>
  <c r="Q63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2" i="58"/>
  <c r="C61" i="58"/>
  <c r="C60" i="58"/>
  <c r="C59" i="58"/>
  <c r="C58" i="58"/>
  <c r="C57" i="58"/>
  <c r="C56" i="58"/>
  <c r="C55" i="58"/>
  <c r="C54" i="58"/>
  <c r="C53" i="58"/>
  <c r="C52" i="58"/>
  <c r="M71" i="58" l="1"/>
  <c r="E79" i="58"/>
  <c r="Q79" i="58"/>
  <c r="M76" i="58"/>
  <c r="M75" i="58"/>
  <c r="M73" i="58"/>
  <c r="R79" i="58"/>
  <c r="J79" i="58"/>
  <c r="I79" i="58"/>
  <c r="M67" i="58"/>
  <c r="M79" i="58" s="1"/>
  <c r="P79" i="58"/>
  <c r="O79" i="58"/>
  <c r="T79" i="58"/>
  <c r="S79" i="58"/>
  <c r="M78" i="58"/>
  <c r="M77" i="58"/>
  <c r="G79" i="58"/>
  <c r="F79" i="58"/>
  <c r="I47" i="58"/>
  <c r="S47" i="58"/>
  <c r="T47" i="58"/>
  <c r="E47" i="58"/>
  <c r="J47" i="58"/>
  <c r="C42" i="58"/>
  <c r="C44" i="58"/>
  <c r="M42" i="58"/>
  <c r="M44" i="58"/>
  <c r="G47" i="58"/>
  <c r="Q47" i="58"/>
  <c r="M35" i="58"/>
  <c r="M37" i="58"/>
  <c r="M39" i="58"/>
  <c r="M43" i="58"/>
  <c r="M45" i="58"/>
  <c r="F47" i="58"/>
  <c r="P47" i="58"/>
  <c r="H47" i="58"/>
  <c r="R47" i="58"/>
  <c r="M41" i="58"/>
  <c r="M36" i="58"/>
  <c r="M38" i="58"/>
  <c r="M40" i="58"/>
  <c r="C79" i="58"/>
  <c r="C36" i="58"/>
  <c r="C38" i="58"/>
  <c r="C40" i="58"/>
  <c r="O47" i="58"/>
  <c r="M46" i="58"/>
  <c r="C37" i="58"/>
  <c r="C39" i="58"/>
  <c r="C41" i="58"/>
  <c r="C45" i="58"/>
  <c r="C43" i="58"/>
  <c r="C51" i="58"/>
  <c r="C63" i="58" s="1"/>
  <c r="C46" i="58"/>
  <c r="C35" i="58"/>
  <c r="M29" i="58" l="1"/>
  <c r="M22" i="58"/>
  <c r="M24" i="58"/>
  <c r="M19" i="58"/>
  <c r="O31" i="58"/>
  <c r="M30" i="58"/>
  <c r="C24" i="58"/>
  <c r="C25" i="58"/>
  <c r="C27" i="58"/>
  <c r="M26" i="58"/>
  <c r="G31" i="58"/>
  <c r="M25" i="58"/>
  <c r="Q31" i="58"/>
  <c r="P31" i="58"/>
  <c r="C22" i="58"/>
  <c r="C28" i="58"/>
  <c r="C26" i="58"/>
  <c r="M28" i="58"/>
  <c r="T31" i="58"/>
  <c r="M20" i="58"/>
  <c r="E31" i="58"/>
  <c r="C30" i="58"/>
  <c r="M23" i="58"/>
  <c r="H31" i="58"/>
  <c r="J31" i="58"/>
  <c r="R31" i="58"/>
  <c r="C29" i="58"/>
  <c r="M27" i="58"/>
  <c r="M21" i="58"/>
  <c r="F31" i="58"/>
  <c r="I31" i="58"/>
  <c r="C23" i="58"/>
  <c r="S31" i="58"/>
  <c r="M47" i="58"/>
  <c r="C47" i="58"/>
  <c r="M31" i="58" l="1"/>
  <c r="D15" i="58"/>
  <c r="C10" i="58" l="1"/>
  <c r="C8" i="58"/>
  <c r="H15" i="58"/>
  <c r="C12" i="58"/>
  <c r="C4" i="58"/>
  <c r="G15" i="58"/>
  <c r="C11" i="58"/>
  <c r="C13" i="58"/>
  <c r="C5" i="58"/>
  <c r="C6" i="58"/>
  <c r="C7" i="58"/>
  <c r="C9" i="58"/>
  <c r="F15" i="58"/>
  <c r="C14" i="58"/>
  <c r="O2" i="56" l="1"/>
  <c r="C15" i="56" l="1"/>
  <c r="C14" i="56"/>
  <c r="L10" i="56"/>
  <c r="L9" i="56"/>
  <c r="I9" i="56"/>
  <c r="I10" i="56"/>
  <c r="C10" i="56"/>
  <c r="C9" i="56"/>
  <c r="F9" i="56"/>
  <c r="F10" i="56"/>
  <c r="G2" i="56"/>
  <c r="E2" i="56"/>
  <c r="F8" i="56" l="1"/>
  <c r="L8" i="56"/>
  <c r="C13" i="56"/>
  <c r="C8" i="56"/>
  <c r="I8" i="56"/>
  <c r="C19" i="58" l="1"/>
  <c r="C20" i="58"/>
  <c r="C21" i="58"/>
  <c r="C31" i="58" l="1"/>
  <c r="M63" i="58"/>
  <c r="E15" i="58" l="1"/>
  <c r="C15" i="58" s="1"/>
  <c r="C3" i="58"/>
  <c r="D1" i="57" l="1"/>
  <c r="M11" i="36" l="1"/>
  <c r="B16" i="36" l="1"/>
  <c r="H16" i="36" s="1"/>
  <c r="B20" i="36"/>
  <c r="G20" i="36" s="1"/>
  <c r="B22" i="36"/>
  <c r="C22" i="36" s="1"/>
  <c r="B21" i="36"/>
  <c r="F21" i="36" s="1"/>
  <c r="B12" i="36"/>
  <c r="F12" i="36" s="1"/>
  <c r="B11" i="36"/>
  <c r="E11" i="36" s="1"/>
  <c r="B17" i="36"/>
  <c r="E17" i="36" s="1"/>
  <c r="B15" i="36"/>
  <c r="F15" i="36" s="1"/>
  <c r="B14" i="36"/>
  <c r="F14" i="36" s="1"/>
  <c r="B19" i="36"/>
  <c r="D19" i="36" s="1"/>
  <c r="B18" i="36"/>
  <c r="H18" i="36" s="1"/>
  <c r="B13" i="36"/>
  <c r="G13" i="36" s="1"/>
  <c r="B10" i="36"/>
  <c r="E10" i="36" s="1"/>
  <c r="C12" i="36" l="1"/>
  <c r="D22" i="36"/>
  <c r="C18" i="36"/>
  <c r="F18" i="36"/>
  <c r="D18" i="36"/>
  <c r="C17" i="36"/>
  <c r="D17" i="36"/>
  <c r="G17" i="36"/>
  <c r="F13" i="36"/>
  <c r="H10" i="36"/>
  <c r="E13" i="36"/>
  <c r="G19" i="36"/>
  <c r="C15" i="36"/>
  <c r="C11" i="36"/>
  <c r="D12" i="36"/>
  <c r="F22" i="36"/>
  <c r="C16" i="36"/>
  <c r="G15" i="36"/>
  <c r="H12" i="36"/>
  <c r="E22" i="36"/>
  <c r="G16" i="36"/>
  <c r="D13" i="36"/>
  <c r="H19" i="36"/>
  <c r="C13" i="36"/>
  <c r="E19" i="36"/>
  <c r="D14" i="36"/>
  <c r="E15" i="36"/>
  <c r="G11" i="36"/>
  <c r="E21" i="36"/>
  <c r="H22" i="36"/>
  <c r="E16" i="36"/>
  <c r="F10" i="36"/>
  <c r="F19" i="36"/>
  <c r="D15" i="36"/>
  <c r="D11" i="36"/>
  <c r="G22" i="36"/>
  <c r="F16" i="36"/>
  <c r="C19" i="36"/>
  <c r="H14" i="36"/>
  <c r="H15" i="36"/>
  <c r="F11" i="36"/>
  <c r="G21" i="36"/>
  <c r="F20" i="36"/>
  <c r="D16" i="36"/>
  <c r="E18" i="36"/>
  <c r="G14" i="36"/>
  <c r="H11" i="36"/>
  <c r="H21" i="36"/>
  <c r="E14" i="36"/>
  <c r="M5" i="36"/>
  <c r="C21" i="36"/>
  <c r="H20" i="36"/>
  <c r="G18" i="36"/>
  <c r="C14" i="36"/>
  <c r="D10" i="36"/>
  <c r="H17" i="36"/>
  <c r="G12" i="36"/>
  <c r="D21" i="36"/>
  <c r="C20" i="36"/>
  <c r="H13" i="36"/>
  <c r="C10" i="36"/>
  <c r="E20" i="36"/>
  <c r="G10" i="36"/>
  <c r="F17" i="36"/>
  <c r="E12" i="36"/>
  <c r="D20" i="36"/>
  <c r="K7" i="36" l="1"/>
  <c r="M7" i="36"/>
  <c r="M9" i="36"/>
  <c r="M8" i="36"/>
  <c r="K9" i="36"/>
  <c r="K8" i="36"/>
  <c r="K16" i="63" l="1"/>
  <c r="B7" i="22"/>
  <c r="G7" i="22" l="1"/>
  <c r="C7" i="22"/>
  <c r="H7" i="22"/>
  <c r="D7" i="22"/>
  <c r="J7" i="22"/>
  <c r="F7" i="22"/>
  <c r="I7" i="22"/>
  <c r="E7" i="22"/>
  <c r="K7" i="22" l="1"/>
  <c r="B12" i="22"/>
  <c r="J12" i="22" s="1"/>
  <c r="B13" i="22"/>
  <c r="B8" i="22"/>
  <c r="C8" i="22" s="1"/>
  <c r="B10" i="22"/>
  <c r="B9" i="22"/>
  <c r="D9" i="22" s="1"/>
  <c r="B11" i="22"/>
  <c r="F11" i="22" l="1"/>
  <c r="C11" i="22"/>
  <c r="J13" i="22"/>
  <c r="C13" i="22"/>
  <c r="E11" i="22"/>
  <c r="J11" i="22"/>
  <c r="H11" i="22"/>
  <c r="D11" i="22"/>
  <c r="G11" i="22"/>
  <c r="D12" i="22"/>
  <c r="I9" i="22"/>
  <c r="C9" i="22"/>
  <c r="D10" i="22"/>
  <c r="C10" i="22"/>
  <c r="G12" i="22"/>
  <c r="C12" i="22"/>
  <c r="D8" i="22"/>
  <c r="K9" i="22" s="1"/>
  <c r="E12" i="22"/>
  <c r="E8" i="22"/>
  <c r="H9" i="22"/>
  <c r="K10" i="22"/>
  <c r="F13" i="22"/>
  <c r="J8" i="22"/>
  <c r="G13" i="22"/>
  <c r="G9" i="22"/>
  <c r="I13" i="22"/>
  <c r="F9" i="22"/>
  <c r="I10" i="22"/>
  <c r="D13" i="22"/>
  <c r="I11" i="22"/>
  <c r="F12" i="22"/>
  <c r="G10" i="22"/>
  <c r="E9" i="22"/>
  <c r="I12" i="22"/>
  <c r="J10" i="22"/>
  <c r="G8" i="22"/>
  <c r="I8" i="22"/>
  <c r="F10" i="22"/>
  <c r="F8" i="22"/>
  <c r="H13" i="22"/>
  <c r="E10" i="22"/>
  <c r="H12" i="22"/>
  <c r="H10" i="22"/>
  <c r="H8" i="22"/>
  <c r="E13" i="22"/>
  <c r="J9" i="22"/>
  <c r="B24" i="22"/>
  <c r="J24" i="22" s="1"/>
  <c r="B21" i="22"/>
  <c r="H21" i="22" s="1"/>
  <c r="B20" i="22"/>
  <c r="C20" i="22" s="1"/>
  <c r="B25" i="22"/>
  <c r="I25" i="22" s="1"/>
  <c r="B23" i="22"/>
  <c r="E23" i="22" s="1"/>
  <c r="B22" i="22"/>
  <c r="J22" i="22" s="1"/>
  <c r="B26" i="22"/>
  <c r="I26" i="22" s="1"/>
  <c r="B16" i="22"/>
  <c r="H16" i="22" s="1"/>
  <c r="B18" i="22"/>
  <c r="J18" i="22" s="1"/>
  <c r="B14" i="22"/>
  <c r="F14" i="22" s="1"/>
  <c r="B27" i="22"/>
  <c r="G27" i="22" s="1"/>
  <c r="B28" i="22"/>
  <c r="F28" i="22" s="1"/>
  <c r="B19" i="22"/>
  <c r="H19" i="22" s="1"/>
  <c r="B17" i="22"/>
  <c r="J17" i="22" s="1"/>
  <c r="B15" i="22"/>
  <c r="C15" i="22" s="1"/>
  <c r="B29" i="22"/>
  <c r="F29" i="22" s="1"/>
  <c r="K12" i="22" l="1"/>
  <c r="K13" i="22"/>
  <c r="K11" i="22"/>
  <c r="K8" i="22"/>
  <c r="D25" i="22"/>
  <c r="J25" i="22"/>
  <c r="H25" i="22"/>
  <c r="C25" i="22"/>
  <c r="G25" i="22"/>
  <c r="E21" i="22"/>
  <c r="C21" i="22"/>
  <c r="I27" i="22"/>
  <c r="D24" i="22"/>
  <c r="H17" i="22"/>
  <c r="E26" i="22"/>
  <c r="G24" i="22"/>
  <c r="G28" i="22"/>
  <c r="I17" i="22"/>
  <c r="D21" i="22"/>
  <c r="H24" i="22"/>
  <c r="D22" i="22"/>
  <c r="H22" i="22"/>
  <c r="C24" i="22"/>
  <c r="F18" i="22"/>
  <c r="D27" i="22"/>
  <c r="E25" i="22"/>
  <c r="E27" i="22"/>
  <c r="I18" i="22"/>
  <c r="D16" i="22"/>
  <c r="C27" i="22"/>
  <c r="G20" i="22"/>
  <c r="C23" i="22"/>
  <c r="C14" i="22"/>
  <c r="G23" i="22"/>
  <c r="G14" i="22"/>
  <c r="G19" i="22"/>
  <c r="F17" i="22"/>
  <c r="C28" i="22"/>
  <c r="C26" i="22"/>
  <c r="F27" i="22"/>
  <c r="I21" i="22"/>
  <c r="E24" i="22"/>
  <c r="F23" i="22"/>
  <c r="G16" i="22"/>
  <c r="I14" i="22"/>
  <c r="I28" i="22"/>
  <c r="I23" i="22"/>
  <c r="E16" i="22"/>
  <c r="D29" i="22"/>
  <c r="D28" i="22"/>
  <c r="F19" i="22"/>
  <c r="D26" i="22"/>
  <c r="E15" i="22"/>
  <c r="J26" i="22"/>
  <c r="F22" i="22"/>
  <c r="F24" i="22"/>
  <c r="J23" i="22"/>
  <c r="C16" i="22"/>
  <c r="H20" i="22"/>
  <c r="D19" i="22"/>
  <c r="E22" i="22"/>
  <c r="C29" i="22"/>
  <c r="H23" i="22"/>
  <c r="F16" i="22"/>
  <c r="E20" i="22"/>
  <c r="I19" i="22"/>
  <c r="H15" i="22"/>
  <c r="G26" i="22"/>
  <c r="J19" i="22"/>
  <c r="D23" i="22"/>
  <c r="J15" i="22"/>
  <c r="E14" i="22"/>
  <c r="G22" i="22"/>
  <c r="H29" i="22"/>
  <c r="I16" i="22"/>
  <c r="I20" i="22"/>
  <c r="E28" i="22"/>
  <c r="D20" i="22"/>
  <c r="I15" i="22"/>
  <c r="I22" i="22"/>
  <c r="G29" i="22"/>
  <c r="C18" i="22"/>
  <c r="J16" i="22"/>
  <c r="J20" i="22"/>
  <c r="D15" i="22"/>
  <c r="C19" i="22"/>
  <c r="E19" i="22"/>
  <c r="J21" i="22"/>
  <c r="C22" i="22"/>
  <c r="J29" i="22"/>
  <c r="E18" i="22"/>
  <c r="F20" i="22"/>
  <c r="F15" i="22"/>
  <c r="H28" i="22"/>
  <c r="G15" i="22"/>
  <c r="H27" i="22"/>
  <c r="D14" i="22"/>
  <c r="F21" i="22"/>
  <c r="I29" i="22"/>
  <c r="H18" i="22"/>
  <c r="O5" i="22"/>
  <c r="C17" i="22"/>
  <c r="F26" i="22"/>
  <c r="G17" i="22"/>
  <c r="D17" i="22"/>
  <c r="J14" i="22"/>
  <c r="D18" i="22"/>
  <c r="E17" i="22"/>
  <c r="F25" i="22"/>
  <c r="J28" i="22"/>
  <c r="J27" i="22"/>
  <c r="G21" i="22"/>
  <c r="I24" i="22"/>
  <c r="E29" i="22"/>
  <c r="G18" i="22"/>
  <c r="H14" i="22"/>
  <c r="H26" i="22"/>
  <c r="K18" i="22" l="1"/>
  <c r="O14" i="22"/>
  <c r="O16" i="22"/>
  <c r="K15" i="22"/>
  <c r="K29" i="22"/>
  <c r="M7" i="22"/>
  <c r="K19" i="22"/>
  <c r="K23" i="22"/>
  <c r="M19" i="22"/>
  <c r="M21" i="22"/>
  <c r="M20" i="22"/>
  <c r="K17" i="22"/>
  <c r="K22" i="22"/>
  <c r="K20" i="22"/>
  <c r="K27" i="22"/>
  <c r="K24" i="22"/>
  <c r="K26" i="22"/>
  <c r="O7" i="22"/>
  <c r="O11" i="22"/>
  <c r="K16" i="22"/>
  <c r="K21" i="22"/>
  <c r="O17" i="22"/>
  <c r="O15" i="22"/>
  <c r="O12" i="22"/>
  <c r="O10" i="22"/>
  <c r="O13" i="22"/>
  <c r="K28" i="22"/>
  <c r="K25" i="22"/>
</calcChain>
</file>

<file path=xl/sharedStrings.xml><?xml version="1.0" encoding="utf-8"?>
<sst xmlns="http://schemas.openxmlformats.org/spreadsheetml/2006/main" count="1900" uniqueCount="244">
  <si>
    <t>Name</t>
  </si>
  <si>
    <t>Date</t>
  </si>
  <si>
    <t>Sex</t>
  </si>
  <si>
    <t>Price</t>
  </si>
  <si>
    <t>Mother</t>
  </si>
  <si>
    <t>Toni Ann</t>
  </si>
  <si>
    <t>Female</t>
  </si>
  <si>
    <t>Au gus To</t>
  </si>
  <si>
    <t>Male</t>
  </si>
  <si>
    <t>Hope</t>
  </si>
  <si>
    <t>Zozibini</t>
  </si>
  <si>
    <t>Ban Dan</t>
  </si>
  <si>
    <t>Satuk</t>
  </si>
  <si>
    <t>Lisa</t>
  </si>
  <si>
    <t>Lucy</t>
  </si>
  <si>
    <t>Our Farm</t>
  </si>
  <si>
    <t>Male goats:</t>
  </si>
  <si>
    <t>Female goats:</t>
  </si>
  <si>
    <t>Triple goats:</t>
  </si>
  <si>
    <t>Born on the farm:</t>
  </si>
  <si>
    <t>Tong Kao</t>
  </si>
  <si>
    <t>Alive</t>
  </si>
  <si>
    <t>Unknow</t>
  </si>
  <si>
    <t>Panda</t>
  </si>
  <si>
    <t>Dell</t>
  </si>
  <si>
    <t>Chip</t>
  </si>
  <si>
    <t>Mary</t>
  </si>
  <si>
    <t>Worm</t>
  </si>
  <si>
    <t>Day</t>
  </si>
  <si>
    <t>Night</t>
  </si>
  <si>
    <t>Maya</t>
  </si>
  <si>
    <t>Janny</t>
  </si>
  <si>
    <t>Toni</t>
  </si>
  <si>
    <t>Joey</t>
  </si>
  <si>
    <t>Jami</t>
  </si>
  <si>
    <t>Dead</t>
  </si>
  <si>
    <t>Family</t>
  </si>
  <si>
    <t>Toni Ann Family</t>
  </si>
  <si>
    <t>Zozibini Family</t>
  </si>
  <si>
    <t>Lisa Family</t>
  </si>
  <si>
    <t>Lucy Family</t>
  </si>
  <si>
    <t>Mary Family</t>
  </si>
  <si>
    <t>Hope Family</t>
  </si>
  <si>
    <t>Goat</t>
  </si>
  <si>
    <t>Twin</t>
  </si>
  <si>
    <t>Grandson</t>
  </si>
  <si>
    <t>Granddaughter</t>
  </si>
  <si>
    <t>Father</t>
  </si>
  <si>
    <t>Daughter</t>
  </si>
  <si>
    <t>Son</t>
  </si>
  <si>
    <t>Gender:</t>
  </si>
  <si>
    <t>GreatGranddaughter</t>
  </si>
  <si>
    <t>GreatGrandson</t>
  </si>
  <si>
    <t>Natasha Family</t>
  </si>
  <si>
    <t>Sick</t>
  </si>
  <si>
    <t>Dead Date</t>
  </si>
  <si>
    <t>Born</t>
  </si>
  <si>
    <t>Apache</t>
  </si>
  <si>
    <t>Tong-D</t>
  </si>
  <si>
    <t>O-Reo</t>
  </si>
  <si>
    <t>Cle-O</t>
  </si>
  <si>
    <t>Lady-Pink</t>
  </si>
  <si>
    <t>Ban khok Sa Wang</t>
  </si>
  <si>
    <t>Apache Family</t>
  </si>
  <si>
    <t>Tong-D Family</t>
  </si>
  <si>
    <t>Lady-Pink Family</t>
  </si>
  <si>
    <t>O-Reo Family</t>
  </si>
  <si>
    <t>Cle-O Family</t>
  </si>
  <si>
    <t>Day of receive</t>
  </si>
  <si>
    <t>Right Now</t>
  </si>
  <si>
    <t>Reason</t>
  </si>
  <si>
    <t>EB1</t>
  </si>
  <si>
    <t>Early born</t>
  </si>
  <si>
    <t>From Farm</t>
  </si>
  <si>
    <t>No.</t>
  </si>
  <si>
    <t>Bought</t>
  </si>
  <si>
    <t>Status</t>
  </si>
  <si>
    <t>Days on farm:</t>
  </si>
  <si>
    <t>Goats name</t>
  </si>
  <si>
    <t>Days</t>
  </si>
  <si>
    <t>Abortion</t>
  </si>
  <si>
    <t>Receive Date</t>
  </si>
  <si>
    <t>Born on the same day: (But not same Mother)</t>
  </si>
  <si>
    <t>Pammy</t>
  </si>
  <si>
    <t>Praery</t>
  </si>
  <si>
    <t>Twin goats: (set)</t>
  </si>
  <si>
    <t>15,16</t>
  </si>
  <si>
    <t>Day,Night</t>
  </si>
  <si>
    <t>17,18</t>
  </si>
  <si>
    <t xml:space="preserve">Goat born dead on the farm: </t>
  </si>
  <si>
    <t>Goat past away:</t>
  </si>
  <si>
    <t>Goat Sold:</t>
  </si>
  <si>
    <t>Grand kid (Male)</t>
  </si>
  <si>
    <t>Grand kid (Female)</t>
  </si>
  <si>
    <t>Farms Total</t>
  </si>
  <si>
    <r>
      <t>Dell,</t>
    </r>
    <r>
      <rPr>
        <sz val="12"/>
        <color rgb="FFFF0000"/>
        <rFont val="Arial"/>
        <family val="2"/>
      </rPr>
      <t>Chip</t>
    </r>
  </si>
  <si>
    <r>
      <t>12,</t>
    </r>
    <r>
      <rPr>
        <sz val="12"/>
        <color rgb="FFFF0000"/>
        <rFont val="Arial"/>
        <family val="2"/>
      </rPr>
      <t>13</t>
    </r>
  </si>
  <si>
    <t>Twin Goat</t>
  </si>
  <si>
    <t>Born on the same day:</t>
  </si>
  <si>
    <t>Male,Male</t>
  </si>
  <si>
    <t>Female,Female</t>
  </si>
  <si>
    <t>Male,Female</t>
  </si>
  <si>
    <t>Snow</t>
  </si>
  <si>
    <t>Natasha</t>
  </si>
  <si>
    <t>Pi Mai</t>
  </si>
  <si>
    <t>Sai Su Nee goat Farm</t>
  </si>
  <si>
    <t>Meena</t>
  </si>
  <si>
    <t>Franky</t>
  </si>
  <si>
    <t>Sai</t>
  </si>
  <si>
    <t>O-Larf</t>
  </si>
  <si>
    <t>Bo-Bo</t>
  </si>
  <si>
    <t>Namtarn</t>
  </si>
  <si>
    <t>Ban Sawaijeek</t>
  </si>
  <si>
    <t>Bo Bo Family</t>
  </si>
  <si>
    <t>Namtarn Family</t>
  </si>
  <si>
    <t>Pancake</t>
  </si>
  <si>
    <t>Gas</t>
  </si>
  <si>
    <t>EB2</t>
  </si>
  <si>
    <t>Miky</t>
  </si>
  <si>
    <t>EB3</t>
  </si>
  <si>
    <t>Sunday</t>
  </si>
  <si>
    <t>EB4</t>
  </si>
  <si>
    <t>Bella</t>
  </si>
  <si>
    <t>EB5</t>
  </si>
  <si>
    <t>Tiger</t>
  </si>
  <si>
    <t>Lion</t>
  </si>
  <si>
    <t>Ying-Jan</t>
  </si>
  <si>
    <t>Bovi</t>
  </si>
  <si>
    <t>Leo</t>
  </si>
  <si>
    <t>Natalie</t>
  </si>
  <si>
    <t>Brownie</t>
  </si>
  <si>
    <t>Khu Mueng</t>
  </si>
  <si>
    <t>No</t>
  </si>
  <si>
    <t>Sold</t>
  </si>
  <si>
    <t>Charlotte</t>
  </si>
  <si>
    <t xml:space="preserve">Goat die on the farm Male: </t>
  </si>
  <si>
    <t xml:space="preserve">Goat sold out on the farm Female: </t>
  </si>
  <si>
    <t xml:space="preserve">Goat sold out on the farm Male: </t>
  </si>
  <si>
    <r>
      <rPr>
        <sz val="12"/>
        <color rgb="FFFF0000"/>
        <rFont val="Arial"/>
        <family val="2"/>
      </rPr>
      <t>Pammy</t>
    </r>
    <r>
      <rPr>
        <sz val="12"/>
        <color theme="1"/>
        <rFont val="Arial"/>
        <family val="2"/>
      </rPr>
      <t>,Praery</t>
    </r>
  </si>
  <si>
    <r>
      <rPr>
        <sz val="12"/>
        <color rgb="FFFF0000"/>
        <rFont val="Arial"/>
        <family val="2"/>
      </rPr>
      <t>26-</t>
    </r>
    <r>
      <rPr>
        <sz val="12"/>
        <color theme="1"/>
        <rFont val="Arial"/>
        <family val="2"/>
      </rPr>
      <t>27</t>
    </r>
  </si>
  <si>
    <t>Toni,Joey</t>
  </si>
  <si>
    <t xml:space="preserve">Goat die on the farm Female: </t>
  </si>
  <si>
    <t>Now</t>
  </si>
  <si>
    <t>Year</t>
  </si>
  <si>
    <t>Receive Year</t>
  </si>
  <si>
    <t>Tiny</t>
  </si>
  <si>
    <t>EB6</t>
  </si>
  <si>
    <t>A-Care</t>
  </si>
  <si>
    <t>Eyes</t>
  </si>
  <si>
    <t>Julie</t>
  </si>
  <si>
    <t>Beauty</t>
  </si>
  <si>
    <t>Charlie</t>
  </si>
  <si>
    <t>Bobby</t>
  </si>
  <si>
    <t>Ginnie</t>
  </si>
  <si>
    <t>Dollar</t>
  </si>
  <si>
    <t>Euro</t>
  </si>
  <si>
    <t>Kg</t>
  </si>
  <si>
    <t>Month,year</t>
  </si>
  <si>
    <t>Milli</t>
  </si>
  <si>
    <t>Million</t>
  </si>
  <si>
    <t>Belli</t>
  </si>
  <si>
    <t>February</t>
  </si>
  <si>
    <t>March</t>
  </si>
  <si>
    <t>April</t>
  </si>
  <si>
    <t>May</t>
  </si>
  <si>
    <t>June</t>
  </si>
  <si>
    <t>January</t>
  </si>
  <si>
    <t>July</t>
  </si>
  <si>
    <t>August</t>
  </si>
  <si>
    <t>September</t>
  </si>
  <si>
    <t>October</t>
  </si>
  <si>
    <t>November</t>
  </si>
  <si>
    <t>December</t>
  </si>
  <si>
    <t>Total</t>
  </si>
  <si>
    <t>Receive</t>
  </si>
  <si>
    <t>Becky</t>
  </si>
  <si>
    <t>Copper</t>
  </si>
  <si>
    <t>Born/Female</t>
  </si>
  <si>
    <t>Born/Male</t>
  </si>
  <si>
    <t>Bought/Female</t>
  </si>
  <si>
    <t>Bought/Male</t>
  </si>
  <si>
    <t>Sold/Female</t>
  </si>
  <si>
    <t>Dead/Male</t>
  </si>
  <si>
    <t>Dead/Female</t>
  </si>
  <si>
    <t>Sold/Male</t>
  </si>
  <si>
    <t>Female:</t>
  </si>
  <si>
    <t>Male:</t>
  </si>
  <si>
    <t>Total:</t>
  </si>
  <si>
    <t>Bowi,Leo,Natali</t>
  </si>
  <si>
    <t>2 Born on the same day, But not same mother:</t>
  </si>
  <si>
    <t>3 Born on the same day, But not same mother:</t>
  </si>
  <si>
    <t>4 Born on the same day, But not same mother:</t>
  </si>
  <si>
    <t>Becky,Copper</t>
  </si>
  <si>
    <t>Single</t>
  </si>
  <si>
    <t>Twin,Twin</t>
  </si>
  <si>
    <t>Twin,Single</t>
  </si>
  <si>
    <t xml:space="preserve">Single, </t>
  </si>
  <si>
    <t>Daughter and Granddaughter on the same day:</t>
  </si>
  <si>
    <t>Dollar,Euro,Milli,Million</t>
  </si>
  <si>
    <t>Iron</t>
  </si>
  <si>
    <t>Vitamin</t>
  </si>
  <si>
    <t>Marchy</t>
  </si>
  <si>
    <t>Ying Pie</t>
  </si>
  <si>
    <t>Nicky</t>
  </si>
  <si>
    <t>01 2023</t>
  </si>
  <si>
    <t>03 2023</t>
  </si>
  <si>
    <t>04 2023</t>
  </si>
  <si>
    <t>10 2022</t>
  </si>
  <si>
    <t>07 2022</t>
  </si>
  <si>
    <t>06 2022</t>
  </si>
  <si>
    <t>01 2022</t>
  </si>
  <si>
    <t>02 2022</t>
  </si>
  <si>
    <t>03 2022</t>
  </si>
  <si>
    <t>05 2022</t>
  </si>
  <si>
    <t>01 2021</t>
  </si>
  <si>
    <t>03 2021</t>
  </si>
  <si>
    <t>05 2021</t>
  </si>
  <si>
    <t>06 2021</t>
  </si>
  <si>
    <t>07 2021</t>
  </si>
  <si>
    <t>08 2021</t>
  </si>
  <si>
    <t>12 2021</t>
  </si>
  <si>
    <t>12 2019</t>
  </si>
  <si>
    <t>01 2020</t>
  </si>
  <si>
    <t>03 2020</t>
  </si>
  <si>
    <t>05 2020</t>
  </si>
  <si>
    <t>07 2020</t>
  </si>
  <si>
    <t>09 2020</t>
  </si>
  <si>
    <t>10 2020</t>
  </si>
  <si>
    <t>12 2020</t>
  </si>
  <si>
    <t>Songkran</t>
  </si>
  <si>
    <t>Price sold</t>
  </si>
  <si>
    <t>Au gus To Family</t>
  </si>
  <si>
    <t>Days on Farm</t>
  </si>
  <si>
    <r>
      <rPr>
        <sz val="12"/>
        <color rgb="FFFF0000"/>
        <rFont val="Arial"/>
        <family val="2"/>
      </rPr>
      <t>Leo</t>
    </r>
    <r>
      <rPr>
        <sz val="12"/>
        <color theme="1"/>
        <rFont val="Arial"/>
        <family val="2"/>
      </rPr>
      <t>,Bowi</t>
    </r>
  </si>
  <si>
    <t>Dead Year</t>
  </si>
  <si>
    <t>Last time</t>
  </si>
  <si>
    <t>All</t>
  </si>
  <si>
    <t>Charlice</t>
  </si>
  <si>
    <t>06 2023</t>
  </si>
  <si>
    <t>Help</t>
  </si>
  <si>
    <t>Charlotte Family</t>
  </si>
  <si>
    <t>Lily</t>
  </si>
  <si>
    <t>Loy</t>
  </si>
  <si>
    <t>Boss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</si>
</sst>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;;;"/>
    <numFmt numFmtId="168" formatCode="_-* #,##0_-;\-* #,##0_-;_-* &quot;-&quot;??_-;_-@_-"/>
    <numFmt numFmtId="169" formatCode="mm/yy"/>
    <numFmt numFmtId="170" formatCode="m/d;@"/>
    <numFmt numFmtId="171" formatCode="hh:mm:ss;@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2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rgb="FFFF0000"/>
      <name val="Arial"/>
      <family val="2"/>
    </font>
    <font>
      <sz val="2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340">
    <xf numFmtId="0" fontId="0" fillId="0" borderId="0" xfId="0"/>
    <xf numFmtId="0" fontId="0" fillId="2" borderId="2" xfId="0" applyFill="1" applyBorder="1"/>
    <xf numFmtId="0" fontId="0" fillId="2" borderId="6" xfId="0" applyFill="1" applyBorder="1"/>
    <xf numFmtId="0" fontId="0" fillId="0" borderId="0" xfId="0" applyAlignment="1">
      <alignment horizontal="center"/>
    </xf>
    <xf numFmtId="0" fontId="0" fillId="2" borderId="4" xfId="0" applyFill="1" applyBorder="1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3" borderId="0" xfId="0" applyNumberForma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167" fontId="0" fillId="4" borderId="0" xfId="0" applyNumberFormat="1" applyFill="1"/>
    <xf numFmtId="14" fontId="0" fillId="3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2" xfId="0" applyFill="1" applyBorder="1"/>
    <xf numFmtId="0" fontId="0" fillId="7" borderId="6" xfId="0" applyFill="1" applyBorder="1"/>
    <xf numFmtId="0" fontId="0" fillId="7" borderId="7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0" fillId="0" borderId="0" xfId="0" applyAlignment="1">
      <alignment horizontal="center"/>
    </xf>
    <xf numFmtId="14" fontId="0" fillId="2" borderId="3" xfId="0" applyNumberFormat="1" applyFill="1" applyBorder="1"/>
    <xf numFmtId="0" fontId="0" fillId="2" borderId="0" xfId="0" applyFill="1" applyBorder="1"/>
    <xf numFmtId="14" fontId="0" fillId="2" borderId="7" xfId="0" applyNumberFormat="1" applyFill="1" applyBorder="1"/>
    <xf numFmtId="0" fontId="0" fillId="2" borderId="7" xfId="0" applyFill="1" applyBorder="1"/>
    <xf numFmtId="0" fontId="0" fillId="2" borderId="1" xfId="0" applyFill="1" applyBorder="1"/>
    <xf numFmtId="14" fontId="0" fillId="2" borderId="5" xfId="0" applyNumberFormat="1" applyFill="1" applyBorder="1"/>
    <xf numFmtId="0" fontId="6" fillId="2" borderId="11" xfId="0" applyFont="1" applyFill="1" applyBorder="1"/>
    <xf numFmtId="0" fontId="6" fillId="2" borderId="1" xfId="0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7" borderId="1" xfId="0" applyFill="1" applyBorder="1"/>
    <xf numFmtId="0" fontId="0" fillId="7" borderId="0" xfId="0" applyFill="1" applyBorder="1"/>
    <xf numFmtId="0" fontId="0" fillId="7" borderId="0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7" borderId="11" xfId="0" applyFill="1" applyBorder="1"/>
    <xf numFmtId="0" fontId="0" fillId="7" borderId="1" xfId="0" applyFont="1" applyFill="1" applyBorder="1" applyAlignment="1">
      <alignment vertical="center"/>
    </xf>
    <xf numFmtId="0" fontId="9" fillId="8" borderId="9" xfId="0" applyFont="1" applyFill="1" applyBorder="1" applyAlignment="1">
      <alignment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left" vertical="center"/>
    </xf>
    <xf numFmtId="0" fontId="0" fillId="0" borderId="0" xfId="0" applyFont="1"/>
    <xf numFmtId="0" fontId="1" fillId="7" borderId="2" xfId="0" applyFont="1" applyFill="1" applyBorder="1"/>
    <xf numFmtId="0" fontId="0" fillId="7" borderId="2" xfId="0" applyFill="1" applyBorder="1" applyAlignment="1">
      <alignment horizontal="left"/>
    </xf>
    <xf numFmtId="0" fontId="0" fillId="7" borderId="3" xfId="0" applyFill="1" applyBorder="1"/>
    <xf numFmtId="0" fontId="0" fillId="7" borderId="4" xfId="0" applyFill="1" applyBorder="1" applyAlignment="1">
      <alignment horizontal="left"/>
    </xf>
    <xf numFmtId="0" fontId="0" fillId="7" borderId="5" xfId="0" applyFill="1" applyBorder="1"/>
    <xf numFmtId="0" fontId="0" fillId="0" borderId="0" xfId="0" applyFill="1"/>
    <xf numFmtId="167" fontId="0" fillId="4" borderId="0" xfId="0" applyNumberFormat="1" applyFill="1" applyBorder="1"/>
    <xf numFmtId="14" fontId="0" fillId="3" borderId="0" xfId="0" applyNumberFormat="1" applyFill="1" applyBorder="1" applyAlignment="1">
      <alignment horizontal="right"/>
    </xf>
    <xf numFmtId="0" fontId="0" fillId="9" borderId="0" xfId="0" applyFill="1"/>
    <xf numFmtId="0" fontId="0" fillId="4" borderId="2" xfId="0" applyFill="1" applyBorder="1"/>
    <xf numFmtId="0" fontId="0" fillId="4" borderId="11" xfId="0" applyFill="1" applyBorder="1"/>
    <xf numFmtId="0" fontId="0" fillId="4" borderId="6" xfId="0" applyFill="1" applyBorder="1"/>
    <xf numFmtId="0" fontId="0" fillId="4" borderId="4" xfId="0" applyFill="1" applyBorder="1"/>
    <xf numFmtId="0" fontId="0" fillId="4" borderId="1" xfId="0" applyFill="1" applyBorder="1"/>
    <xf numFmtId="14" fontId="0" fillId="3" borderId="11" xfId="0" applyNumberFormat="1" applyFill="1" applyBorder="1"/>
    <xf numFmtId="0" fontId="0" fillId="3" borderId="11" xfId="0" applyNumberFormat="1" applyFill="1" applyBorder="1" applyAlignment="1">
      <alignment horizontal="left"/>
    </xf>
    <xf numFmtId="0" fontId="1" fillId="0" borderId="0" xfId="0" applyFont="1" applyFill="1"/>
    <xf numFmtId="0" fontId="0" fillId="0" borderId="0" xfId="0" applyFont="1" applyFill="1"/>
    <xf numFmtId="14" fontId="0" fillId="3" borderId="11" xfId="0" applyNumberFormat="1" applyFill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0" fontId="0" fillId="2" borderId="5" xfId="0" applyFill="1" applyBorder="1"/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7" borderId="6" xfId="0" applyFont="1" applyFill="1" applyBorder="1"/>
    <xf numFmtId="0" fontId="0" fillId="7" borderId="7" xfId="0" applyFill="1" applyBorder="1"/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/>
    <xf numFmtId="0" fontId="0" fillId="0" borderId="16" xfId="0" applyBorder="1"/>
    <xf numFmtId="0" fontId="1" fillId="0" borderId="16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6" xfId="0" applyFont="1" applyBorder="1"/>
    <xf numFmtId="0" fontId="9" fillId="7" borderId="11" xfId="0" applyFont="1" applyFill="1" applyBorder="1" applyAlignment="1">
      <alignment horizontal="left"/>
    </xf>
    <xf numFmtId="0" fontId="9" fillId="7" borderId="11" xfId="0" applyFont="1" applyFill="1" applyBorder="1"/>
    <xf numFmtId="0" fontId="0" fillId="0" borderId="2" xfId="0" applyBorder="1"/>
    <xf numFmtId="0" fontId="0" fillId="10" borderId="0" xfId="0" applyFill="1"/>
    <xf numFmtId="0" fontId="12" fillId="10" borderId="1" xfId="0" applyFont="1" applyFill="1" applyBorder="1"/>
    <xf numFmtId="0" fontId="9" fillId="10" borderId="1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9" fillId="10" borderId="12" xfId="0" applyFont="1" applyFill="1" applyBorder="1"/>
    <xf numFmtId="0" fontId="0" fillId="10" borderId="1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9" fillId="10" borderId="14" xfId="0" applyFont="1" applyFill="1" applyBorder="1"/>
    <xf numFmtId="0" fontId="0" fillId="10" borderId="6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9" fillId="10" borderId="13" xfId="0" applyFont="1" applyFill="1" applyBorder="1"/>
    <xf numFmtId="0" fontId="0" fillId="10" borderId="1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1" fillId="10" borderId="1" xfId="0" applyFont="1" applyFill="1" applyBorder="1"/>
    <xf numFmtId="0" fontId="0" fillId="10" borderId="7" xfId="0" applyFill="1" applyBorder="1"/>
    <xf numFmtId="0" fontId="0" fillId="10" borderId="5" xfId="0" applyFill="1" applyBorder="1"/>
    <xf numFmtId="0" fontId="9" fillId="10" borderId="15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0" fillId="10" borderId="0" xfId="0" applyFill="1" applyBorder="1"/>
    <xf numFmtId="14" fontId="9" fillId="10" borderId="0" xfId="0" applyNumberFormat="1" applyFont="1" applyFill="1" applyAlignment="1">
      <alignment horizontal="left"/>
    </xf>
    <xf numFmtId="0" fontId="0" fillId="10" borderId="0" xfId="0" applyFont="1" applyFill="1"/>
    <xf numFmtId="166" fontId="0" fillId="10" borderId="0" xfId="12" applyFont="1" applyFill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4" borderId="0" xfId="13" applyFill="1"/>
    <xf numFmtId="0" fontId="1" fillId="0" borderId="0" xfId="13"/>
    <xf numFmtId="0" fontId="1" fillId="4" borderId="0" xfId="13" applyFill="1" applyAlignment="1">
      <alignment horizontal="center"/>
    </xf>
    <xf numFmtId="0" fontId="1" fillId="6" borderId="0" xfId="13" applyFill="1"/>
    <xf numFmtId="0" fontId="1" fillId="6" borderId="0" xfId="13" applyFont="1" applyFill="1"/>
    <xf numFmtId="14" fontId="1" fillId="6" borderId="0" xfId="13" applyNumberFormat="1" applyFill="1"/>
    <xf numFmtId="0" fontId="1" fillId="6" borderId="0" xfId="13" applyFill="1" applyAlignment="1">
      <alignment horizontal="left"/>
    </xf>
    <xf numFmtId="168" fontId="0" fillId="6" borderId="0" xfId="14" applyNumberFormat="1" applyFont="1" applyFill="1"/>
    <xf numFmtId="169" fontId="1" fillId="0" borderId="0" xfId="13" applyNumberFormat="1" applyFill="1" applyBorder="1" applyAlignment="1">
      <alignment horizontal="left"/>
    </xf>
    <xf numFmtId="0" fontId="1" fillId="0" borderId="0" xfId="13" applyFill="1"/>
    <xf numFmtId="0" fontId="1" fillId="0" borderId="0" xfId="13" applyFont="1"/>
    <xf numFmtId="14" fontId="1" fillId="0" borderId="0" xfId="13" applyNumberFormat="1"/>
    <xf numFmtId="0" fontId="1" fillId="0" borderId="0" xfId="13" applyAlignment="1">
      <alignment horizontal="left"/>
    </xf>
    <xf numFmtId="168" fontId="0" fillId="0" borderId="0" xfId="14" applyNumberFormat="1" applyFont="1"/>
    <xf numFmtId="0" fontId="1" fillId="9" borderId="0" xfId="13" applyFill="1"/>
    <xf numFmtId="0" fontId="1" fillId="9" borderId="0" xfId="13" applyFont="1" applyFill="1"/>
    <xf numFmtId="14" fontId="1" fillId="9" borderId="0" xfId="13" applyNumberFormat="1" applyFill="1"/>
    <xf numFmtId="0" fontId="1" fillId="9" borderId="0" xfId="13" applyFill="1" applyAlignment="1">
      <alignment horizontal="left"/>
    </xf>
    <xf numFmtId="168" fontId="0" fillId="9" borderId="0" xfId="14" applyNumberFormat="1" applyFont="1" applyFill="1"/>
    <xf numFmtId="0" fontId="1" fillId="9" borderId="1" xfId="13" applyFill="1" applyBorder="1"/>
    <xf numFmtId="0" fontId="1" fillId="9" borderId="1" xfId="13" applyFont="1" applyFill="1" applyBorder="1"/>
    <xf numFmtId="14" fontId="1" fillId="9" borderId="1" xfId="13" applyNumberFormat="1" applyFill="1" applyBorder="1"/>
    <xf numFmtId="0" fontId="1" fillId="9" borderId="1" xfId="13" applyFill="1" applyBorder="1" applyAlignment="1">
      <alignment horizontal="left"/>
    </xf>
    <xf numFmtId="168" fontId="0" fillId="9" borderId="1" xfId="14" applyNumberFormat="1" applyFont="1" applyFill="1" applyBorder="1"/>
    <xf numFmtId="169" fontId="1" fillId="0" borderId="1" xfId="13" applyNumberFormat="1" applyFill="1" applyBorder="1" applyAlignment="1">
      <alignment horizontal="left"/>
    </xf>
    <xf numFmtId="0" fontId="1" fillId="9" borderId="0" xfId="13" applyNumberFormat="1" applyFill="1" applyAlignment="1">
      <alignment horizontal="left"/>
    </xf>
    <xf numFmtId="14" fontId="1" fillId="9" borderId="0" xfId="13" applyNumberFormat="1" applyFill="1" applyBorder="1"/>
    <xf numFmtId="14" fontId="1" fillId="0" borderId="0" xfId="13" applyNumberFormat="1" applyFill="1"/>
    <xf numFmtId="0" fontId="1" fillId="0" borderId="0" xfId="13" applyFont="1" applyFill="1"/>
    <xf numFmtId="0" fontId="1" fillId="0" borderId="1" xfId="13" applyFill="1" applyBorder="1"/>
    <xf numFmtId="0" fontId="1" fillId="0" borderId="1" xfId="13" applyFont="1" applyBorder="1"/>
    <xf numFmtId="0" fontId="1" fillId="0" borderId="1" xfId="13" applyBorder="1"/>
    <xf numFmtId="14" fontId="1" fillId="0" borderId="1" xfId="13" applyNumberFormat="1" applyBorder="1"/>
    <xf numFmtId="0" fontId="1" fillId="0" borderId="1" xfId="13" applyBorder="1" applyAlignment="1">
      <alignment horizontal="left"/>
    </xf>
    <xf numFmtId="14" fontId="1" fillId="0" borderId="1" xfId="13" applyNumberFormat="1" applyFill="1" applyBorder="1"/>
    <xf numFmtId="14" fontId="1" fillId="0" borderId="0" xfId="13" applyNumberFormat="1" applyFill="1" applyBorder="1"/>
    <xf numFmtId="0" fontId="0" fillId="3" borderId="11" xfId="0" applyNumberFormat="1" applyFill="1" applyBorder="1"/>
    <xf numFmtId="0" fontId="0" fillId="3" borderId="0" xfId="0" applyNumberFormat="1" applyFill="1" applyBorder="1"/>
    <xf numFmtId="0" fontId="0" fillId="3" borderId="1" xfId="0" applyNumberFormat="1" applyFill="1" applyBorder="1"/>
    <xf numFmtId="168" fontId="0" fillId="3" borderId="3" xfId="12" applyNumberFormat="1" applyFont="1" applyFill="1" applyBorder="1"/>
    <xf numFmtId="168" fontId="0" fillId="3" borderId="7" xfId="12" applyNumberFormat="1" applyFont="1" applyFill="1" applyBorder="1"/>
    <xf numFmtId="168" fontId="0" fillId="3" borderId="5" xfId="12" applyNumberFormat="1" applyFont="1" applyFill="1" applyBorder="1"/>
    <xf numFmtId="0" fontId="1" fillId="0" borderId="16" xfId="0" applyFont="1" applyBorder="1" applyAlignment="1">
      <alignment horizontal="center"/>
    </xf>
    <xf numFmtId="14" fontId="1" fillId="0" borderId="16" xfId="0" applyNumberFormat="1" applyFont="1" applyBorder="1"/>
    <xf numFmtId="0" fontId="1" fillId="9" borderId="0" xfId="13" applyFill="1" applyProtection="1">
      <protection locked="0"/>
    </xf>
    <xf numFmtId="168" fontId="1" fillId="6" borderId="0" xfId="12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ont="1" applyFill="1" applyBorder="1" applyAlignment="1">
      <alignment vertical="center"/>
    </xf>
    <xf numFmtId="0" fontId="1" fillId="4" borderId="0" xfId="13" applyFont="1" applyFill="1"/>
    <xf numFmtId="0" fontId="1" fillId="4" borderId="0" xfId="13" applyFill="1" applyBorder="1"/>
    <xf numFmtId="0" fontId="1" fillId="4" borderId="0" xfId="13" applyFont="1" applyFill="1" applyBorder="1"/>
    <xf numFmtId="0" fontId="0" fillId="4" borderId="1" xfId="0" applyFill="1" applyBorder="1" applyAlignment="1">
      <alignment horizontal="center"/>
    </xf>
    <xf numFmtId="168" fontId="0" fillId="11" borderId="12" xfId="12" applyNumberFormat="1" applyFont="1" applyFill="1" applyBorder="1"/>
    <xf numFmtId="168" fontId="0" fillId="11" borderId="14" xfId="12" applyNumberFormat="1" applyFont="1" applyFill="1" applyBorder="1"/>
    <xf numFmtId="168" fontId="0" fillId="11" borderId="13" xfId="12" applyNumberFormat="1" applyFont="1" applyFill="1" applyBorder="1"/>
    <xf numFmtId="0" fontId="0" fillId="11" borderId="8" xfId="0" applyFill="1" applyBorder="1"/>
    <xf numFmtId="0" fontId="0" fillId="11" borderId="10" xfId="0" applyFill="1" applyBorder="1"/>
    <xf numFmtId="0" fontId="0" fillId="5" borderId="4" xfId="0" applyFill="1" applyBorder="1"/>
    <xf numFmtId="0" fontId="0" fillId="5" borderId="1" xfId="0" applyFill="1" applyBorder="1"/>
    <xf numFmtId="0" fontId="8" fillId="4" borderId="0" xfId="13" applyFont="1" applyFill="1"/>
    <xf numFmtId="0" fontId="0" fillId="4" borderId="0" xfId="13" applyFont="1" applyFill="1"/>
    <xf numFmtId="0" fontId="0" fillId="9" borderId="12" xfId="0" applyNumberFormat="1" applyFill="1" applyBorder="1" applyAlignment="1">
      <alignment horizontal="left"/>
    </xf>
    <xf numFmtId="0" fontId="0" fillId="9" borderId="14" xfId="0" applyNumberFormat="1" applyFill="1" applyBorder="1" applyAlignment="1">
      <alignment horizontal="left"/>
    </xf>
    <xf numFmtId="0" fontId="0" fillId="9" borderId="13" xfId="0" applyNumberFormat="1" applyFill="1" applyBorder="1" applyAlignment="1">
      <alignment horizontal="left"/>
    </xf>
    <xf numFmtId="0" fontId="0" fillId="8" borderId="12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9" borderId="2" xfId="0" applyFill="1" applyBorder="1"/>
    <xf numFmtId="0" fontId="0" fillId="9" borderId="3" xfId="0" applyFill="1" applyBorder="1"/>
    <xf numFmtId="0" fontId="0" fillId="9" borderId="6" xfId="0" applyNumberFormat="1" applyFill="1" applyBorder="1"/>
    <xf numFmtId="0" fontId="0" fillId="9" borderId="7" xfId="0" applyFill="1" applyBorder="1"/>
    <xf numFmtId="14" fontId="0" fillId="9" borderId="4" xfId="0" applyNumberFormat="1" applyFill="1" applyBorder="1"/>
    <xf numFmtId="0" fontId="0" fillId="9" borderId="5" xfId="0" applyFill="1" applyBorder="1"/>
    <xf numFmtId="0" fontId="0" fillId="9" borderId="8" xfId="0" applyFill="1" applyBorder="1"/>
    <xf numFmtId="0" fontId="0" fillId="9" borderId="10" xfId="0" applyFill="1" applyBorder="1"/>
    <xf numFmtId="0" fontId="0" fillId="9" borderId="9" xfId="0" applyFill="1" applyBorder="1"/>
    <xf numFmtId="0" fontId="0" fillId="4" borderId="1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5" borderId="8" xfId="0" applyFill="1" applyBorder="1"/>
    <xf numFmtId="168" fontId="0" fillId="5" borderId="9" xfId="0" applyNumberFormat="1" applyFill="1" applyBorder="1"/>
    <xf numFmtId="168" fontId="1" fillId="9" borderId="0" xfId="12" applyNumberFormat="1" applyFill="1"/>
    <xf numFmtId="169" fontId="0" fillId="0" borderId="0" xfId="13" applyNumberFormat="1" applyFont="1" applyFill="1" applyBorder="1" applyAlignment="1">
      <alignment horizontal="left"/>
    </xf>
    <xf numFmtId="0" fontId="0" fillId="8" borderId="12" xfId="0" applyNumberFormat="1" applyFill="1" applyBorder="1" applyAlignment="1">
      <alignment horizontal="center"/>
    </xf>
    <xf numFmtId="0" fontId="0" fillId="8" borderId="14" xfId="0" applyNumberFormat="1" applyFill="1" applyBorder="1" applyAlignment="1">
      <alignment horizontal="center"/>
    </xf>
    <xf numFmtId="0" fontId="0" fillId="8" borderId="13" xfId="0" applyNumberFormat="1" applyFill="1" applyBorder="1" applyAlignment="1">
      <alignment horizontal="center"/>
    </xf>
    <xf numFmtId="170" fontId="0" fillId="4" borderId="0" xfId="0" applyNumberFormat="1" applyFill="1"/>
    <xf numFmtId="170" fontId="0" fillId="0" borderId="0" xfId="0" applyNumberFormat="1" applyAlignment="1">
      <alignment horizontal="left"/>
    </xf>
    <xf numFmtId="0" fontId="1" fillId="4" borderId="0" xfId="13" applyNumberFormat="1" applyFill="1" applyAlignment="1">
      <alignment horizontal="center"/>
    </xf>
    <xf numFmtId="168" fontId="1" fillId="5" borderId="12" xfId="12" applyNumberFormat="1" applyFont="1" applyFill="1" applyBorder="1" applyAlignment="1">
      <alignment horizontal="left"/>
    </xf>
    <xf numFmtId="168" fontId="1" fillId="5" borderId="14" xfId="12" applyNumberFormat="1" applyFont="1" applyFill="1" applyBorder="1" applyAlignment="1">
      <alignment horizontal="left"/>
    </xf>
    <xf numFmtId="168" fontId="1" fillId="5" borderId="13" xfId="12" applyNumberFormat="1" applyFont="1" applyFill="1" applyBorder="1" applyAlignment="1">
      <alignment horizontal="left"/>
    </xf>
    <xf numFmtId="0" fontId="0" fillId="5" borderId="2" xfId="0" applyNumberFormat="1" applyFont="1" applyFill="1" applyBorder="1" applyAlignment="1">
      <alignment horizontal="right"/>
    </xf>
    <xf numFmtId="0" fontId="0" fillId="5" borderId="6" xfId="0" applyNumberFormat="1" applyFont="1" applyFill="1" applyBorder="1" applyAlignment="1">
      <alignment horizontal="right"/>
    </xf>
    <xf numFmtId="0" fontId="0" fillId="5" borderId="4" xfId="0" applyNumberFormat="1" applyFont="1" applyFill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14" fontId="0" fillId="4" borderId="0" xfId="0" applyNumberFormat="1" applyFill="1"/>
    <xf numFmtId="0" fontId="0" fillId="4" borderId="0" xfId="0" applyNumberFormat="1" applyFill="1"/>
    <xf numFmtId="0" fontId="0" fillId="4" borderId="0" xfId="0" applyFill="1" applyAlignment="1">
      <alignment horizontal="right"/>
    </xf>
    <xf numFmtId="0" fontId="0" fillId="4" borderId="3" xfId="0" applyFill="1" applyBorder="1"/>
    <xf numFmtId="0" fontId="0" fillId="4" borderId="5" xfId="0" applyFill="1" applyBorder="1"/>
    <xf numFmtId="171" fontId="1" fillId="6" borderId="0" xfId="13" applyNumberFormat="1" applyFill="1" applyAlignment="1">
      <alignment horizontal="left"/>
    </xf>
    <xf numFmtId="171" fontId="1" fillId="0" borderId="0" xfId="13" applyNumberFormat="1" applyFill="1" applyAlignment="1">
      <alignment horizontal="left"/>
    </xf>
    <xf numFmtId="171" fontId="1" fillId="9" borderId="0" xfId="13" applyNumberFormat="1" applyFill="1" applyAlignment="1">
      <alignment horizontal="left"/>
    </xf>
    <xf numFmtId="171" fontId="1" fillId="9" borderId="1" xfId="13" applyNumberFormat="1" applyFill="1" applyBorder="1" applyAlignment="1">
      <alignment horizontal="left"/>
    </xf>
    <xf numFmtId="171" fontId="1" fillId="0" borderId="1" xfId="13" applyNumberFormat="1" applyFill="1" applyBorder="1" applyAlignment="1">
      <alignment horizontal="left"/>
    </xf>
    <xf numFmtId="14" fontId="0" fillId="0" borderId="0" xfId="0" quotePrefix="1" applyNumberFormat="1"/>
    <xf numFmtId="0" fontId="0" fillId="0" borderId="0" xfId="13" applyFont="1" applyFill="1"/>
    <xf numFmtId="0" fontId="9" fillId="0" borderId="16" xfId="13" applyFont="1" applyBorder="1"/>
    <xf numFmtId="0" fontId="1" fillId="8" borderId="11" xfId="13" applyFill="1" applyBorder="1" applyAlignment="1">
      <alignment horizontal="center" vertical="center" wrapText="1"/>
    </xf>
    <xf numFmtId="0" fontId="1" fillId="8" borderId="1" xfId="13" applyFill="1" applyBorder="1" applyAlignment="1">
      <alignment horizontal="center" vertical="center" wrapText="1"/>
    </xf>
    <xf numFmtId="0" fontId="1" fillId="8" borderId="11" xfId="13" applyFill="1" applyBorder="1" applyAlignment="1">
      <alignment horizontal="center" vertical="center"/>
    </xf>
    <xf numFmtId="0" fontId="1" fillId="8" borderId="1" xfId="13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4" fontId="3" fillId="4" borderId="12" xfId="0" applyNumberFormat="1" applyFon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8" borderId="2" xfId="13" applyFill="1" applyBorder="1" applyAlignment="1">
      <alignment horizontal="center" vertical="center"/>
    </xf>
    <xf numFmtId="0" fontId="1" fillId="8" borderId="4" xfId="13" applyFill="1" applyBorder="1" applyAlignment="1">
      <alignment horizontal="center" vertical="center"/>
    </xf>
    <xf numFmtId="0" fontId="1" fillId="8" borderId="2" xfId="13" applyFill="1" applyBorder="1" applyAlignment="1">
      <alignment horizontal="center" vertical="center" wrapText="1"/>
    </xf>
    <xf numFmtId="0" fontId="1" fillId="8" borderId="4" xfId="13" applyFill="1" applyBorder="1" applyAlignment="1">
      <alignment horizontal="center" vertical="center" wrapText="1"/>
    </xf>
    <xf numFmtId="0" fontId="0" fillId="8" borderId="11" xfId="13" applyFont="1" applyFill="1" applyBorder="1" applyAlignment="1">
      <alignment horizontal="center" vertical="center"/>
    </xf>
    <xf numFmtId="168" fontId="0" fillId="8" borderId="11" xfId="14" applyNumberFormat="1" applyFont="1" applyFill="1" applyBorder="1" applyAlignment="1">
      <alignment horizontal="center" vertical="center"/>
    </xf>
    <xf numFmtId="168" fontId="0" fillId="8" borderId="1" xfId="14" applyNumberFormat="1" applyFont="1" applyFill="1" applyBorder="1" applyAlignment="1">
      <alignment horizontal="center" vertical="center"/>
    </xf>
    <xf numFmtId="0" fontId="1" fillId="8" borderId="3" xfId="13" applyFill="1" applyBorder="1" applyAlignment="1">
      <alignment horizontal="center" vertical="center"/>
    </xf>
    <xf numFmtId="0" fontId="1" fillId="8" borderId="5" xfId="13" applyFill="1" applyBorder="1" applyAlignment="1">
      <alignment horizontal="center" vertical="center"/>
    </xf>
    <xf numFmtId="0" fontId="1" fillId="8" borderId="12" xfId="13" applyFill="1" applyBorder="1" applyAlignment="1">
      <alignment horizontal="center" vertical="center" wrapText="1"/>
    </xf>
    <xf numFmtId="0" fontId="1" fillId="8" borderId="13" xfId="13" applyFill="1" applyBorder="1" applyAlignment="1">
      <alignment horizontal="center" vertical="center" wrapText="1"/>
    </xf>
    <xf numFmtId="0" fontId="1" fillId="8" borderId="12" xfId="13" applyFill="1" applyBorder="1" applyAlignment="1">
      <alignment horizontal="center" vertical="center"/>
    </xf>
    <xf numFmtId="0" fontId="1" fillId="8" borderId="13" xfId="13" applyFill="1" applyBorder="1" applyAlignment="1">
      <alignment horizontal="center" vertical="center"/>
    </xf>
    <xf numFmtId="0" fontId="0" fillId="8" borderId="11" xfId="13" applyFont="1" applyFill="1" applyBorder="1" applyAlignment="1">
      <alignment horizontal="center" vertical="center" wrapText="1"/>
    </xf>
    <xf numFmtId="170" fontId="1" fillId="8" borderId="11" xfId="13" applyNumberFormat="1" applyFill="1" applyBorder="1" applyAlignment="1">
      <alignment horizontal="center" vertical="center" wrapText="1"/>
    </xf>
    <xf numFmtId="170" fontId="1" fillId="8" borderId="1" xfId="13" applyNumberFormat="1" applyFill="1" applyBorder="1" applyAlignment="1">
      <alignment horizontal="center" vertical="center" wrapText="1"/>
    </xf>
    <xf numFmtId="0" fontId="0" fillId="8" borderId="12" xfId="1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1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left" vertical="center" wrapText="1"/>
    </xf>
    <xf numFmtId="0" fontId="0" fillId="8" borderId="7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8" borderId="3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</cellXfs>
  <cellStyles count="15">
    <cellStyle name="Comma" xfId="12" builtinId="3"/>
    <cellStyle name="Comma 2" xfId="2"/>
    <cellStyle name="Comma 2 2" xfId="3"/>
    <cellStyle name="Comma 2 3" xfId="4"/>
    <cellStyle name="Comma 2 4" xfId="14"/>
    <cellStyle name="Comma 3" xfId="5"/>
    <cellStyle name="Comma 4" xfId="6"/>
    <cellStyle name="Comma 4 2" xfId="7"/>
    <cellStyle name="Comma 5" xfId="8"/>
    <cellStyle name="Currency 2" xfId="9"/>
    <cellStyle name="Hyperlink" xfId="1" builtinId="8"/>
    <cellStyle name="Hyperlink 2" xfId="10"/>
    <cellStyle name="Normal" xfId="0" builtinId="0"/>
    <cellStyle name="Normal 2" xfId="11"/>
    <cellStyle name="Normal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Spin" dx="25" fmlaLink="N3" max="7" min="1" page="10" val="5"/>
</file>

<file path=xl/ctrlProps/ctrlProp2.xml><?xml version="1.0" encoding="utf-8"?>
<formControlPr xmlns="http://schemas.microsoft.com/office/spreadsheetml/2009/9/main" objectType="Spin" dx="25" fmlaLink="M2" max="70" min="1" page="10" val="17"/>
</file>

<file path=xl/ctrlProps/ctrlProp3.xml><?xml version="1.0" encoding="utf-8"?>
<formControlPr xmlns="http://schemas.microsoft.com/office/spreadsheetml/2009/9/main" objectType="Spin" dx="25" fmlaLink="N5" max="6" min="1" page="10"/>
</file>

<file path=xl/ctrlProps/ctrlProp4.xml><?xml version="1.0" encoding="utf-8"?>
<formControlPr xmlns="http://schemas.microsoft.com/office/spreadsheetml/2009/9/main" objectType="Spin" dx="25" fmlaLink="M2" max="20" min="1" page="10" val="1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0</xdr:row>
      <xdr:rowOff>66675</xdr:rowOff>
    </xdr:from>
    <xdr:to>
      <xdr:col>5</xdr:col>
      <xdr:colOff>142875</xdr:colOff>
      <xdr:row>3</xdr:row>
      <xdr:rowOff>142875</xdr:rowOff>
    </xdr:to>
    <xdr:sp macro="" textlink="">
      <xdr:nvSpPr>
        <xdr:cNvPr id="3" name="Left-Right Arrow 2"/>
        <xdr:cNvSpPr/>
      </xdr:nvSpPr>
      <xdr:spPr>
        <a:xfrm>
          <a:off x="1466850" y="66675"/>
          <a:ext cx="5162550" cy="647700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(The 1.)</a:t>
          </a:r>
          <a:endParaRPr lang="en-GB" sz="1400">
            <a:latin typeface="Cooper Black" pitchFamily="18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180975</xdr:rowOff>
    </xdr:from>
    <xdr:to>
      <xdr:col>1</xdr:col>
      <xdr:colOff>1171575</xdr:colOff>
      <xdr:row>3</xdr:row>
      <xdr:rowOff>9525</xdr:rowOff>
    </xdr:to>
    <xdr:sp macro="" textlink="">
      <xdr:nvSpPr>
        <xdr:cNvPr id="4" name="Curved Down Ribbon 3">
          <a:hlinkClick xmlns:r="http://schemas.openxmlformats.org/officeDocument/2006/relationships" r:id="rId1"/>
        </xdr:cNvPr>
        <xdr:cNvSpPr/>
      </xdr:nvSpPr>
      <xdr:spPr>
        <a:xfrm>
          <a:off x="19050" y="180975"/>
          <a:ext cx="1362075" cy="400050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1</xdr:row>
          <xdr:rowOff>6350</xdr:rowOff>
        </xdr:from>
        <xdr:to>
          <xdr:col>14</xdr:col>
          <xdr:colOff>0</xdr:colOff>
          <xdr:row>4</xdr:row>
          <xdr:rowOff>0</xdr:rowOff>
        </xdr:to>
        <xdr:sp macro="" textlink="">
          <xdr:nvSpPr>
            <xdr:cNvPr id="41986" name="Spinner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869950</xdr:colOff>
      <xdr:row>0</xdr:row>
      <xdr:rowOff>19050</xdr:rowOff>
    </xdr:from>
    <xdr:to>
      <xdr:col>11</xdr:col>
      <xdr:colOff>577850</xdr:colOff>
      <xdr:row>3</xdr:row>
      <xdr:rowOff>34925</xdr:rowOff>
    </xdr:to>
    <xdr:sp macro="" textlink="">
      <xdr:nvSpPr>
        <xdr:cNvPr id="3" name="Left-Right Arrow 2"/>
        <xdr:cNvSpPr/>
      </xdr:nvSpPr>
      <xdr:spPr>
        <a:xfrm>
          <a:off x="1536700" y="19050"/>
          <a:ext cx="7823200" cy="606425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(Mother)</a:t>
          </a:r>
        </a:p>
        <a:p>
          <a:pPr algn="ctr"/>
          <a:endParaRPr lang="en-GB" sz="1400">
            <a:latin typeface="Cooper Black" pitchFamily="18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574675</xdr:colOff>
      <xdr:row>3</xdr:row>
      <xdr:rowOff>3175</xdr:rowOff>
    </xdr:to>
    <xdr:sp macro="" textlink="">
      <xdr:nvSpPr>
        <xdr:cNvPr id="4" name="Curved Down Ribbon 3">
          <a:hlinkClick xmlns:r="http://schemas.openxmlformats.org/officeDocument/2006/relationships" r:id="rId1"/>
        </xdr:cNvPr>
        <xdr:cNvSpPr/>
      </xdr:nvSpPr>
      <xdr:spPr>
        <a:xfrm>
          <a:off x="0" y="196850"/>
          <a:ext cx="1241425" cy="396875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25400</xdr:colOff>
          <xdr:row>0</xdr:row>
          <xdr:rowOff>158750</xdr:rowOff>
        </xdr:from>
        <xdr:to>
          <xdr:col>12</xdr:col>
          <xdr:colOff>552450</xdr:colOff>
          <xdr:row>3</xdr:row>
          <xdr:rowOff>0</xdr:rowOff>
        </xdr:to>
        <xdr:sp macro="" textlink="">
          <xdr:nvSpPr>
            <xdr:cNvPr id="43014" name="Spinner 6" hidden="1">
              <a:extLst>
                <a:ext uri="{63B3BB69-23CF-44E3-9099-C40C66FF867C}">
                  <a14:compatExt spid="_x0000_s4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4</xdr:row>
          <xdr:rowOff>19050</xdr:rowOff>
        </xdr:from>
        <xdr:to>
          <xdr:col>14</xdr:col>
          <xdr:colOff>342900</xdr:colOff>
          <xdr:row>6</xdr:row>
          <xdr:rowOff>69850</xdr:rowOff>
        </xdr:to>
        <xdr:sp macro="" textlink="">
          <xdr:nvSpPr>
            <xdr:cNvPr id="33793" name="Spinner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133350</xdr:colOff>
      <xdr:row>0</xdr:row>
      <xdr:rowOff>142875</xdr:rowOff>
    </xdr:from>
    <xdr:to>
      <xdr:col>3</xdr:col>
      <xdr:colOff>47625</xdr:colOff>
      <xdr:row>2</xdr:row>
      <xdr:rowOff>152400</xdr:rowOff>
    </xdr:to>
    <xdr:sp macro="" textlink="">
      <xdr:nvSpPr>
        <xdr:cNvPr id="3" name="Curved Down Ribbon 2">
          <a:hlinkClick xmlns:r="http://schemas.openxmlformats.org/officeDocument/2006/relationships" r:id="rId1"/>
        </xdr:cNvPr>
        <xdr:cNvSpPr/>
      </xdr:nvSpPr>
      <xdr:spPr>
        <a:xfrm>
          <a:off x="133350" y="142875"/>
          <a:ext cx="1362075" cy="400050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  <xdr:twoCellAnchor>
    <xdr:from>
      <xdr:col>3</xdr:col>
      <xdr:colOff>95250</xdr:colOff>
      <xdr:row>0</xdr:row>
      <xdr:rowOff>63500</xdr:rowOff>
    </xdr:from>
    <xdr:to>
      <xdr:col>15</xdr:col>
      <xdr:colOff>234950</xdr:colOff>
      <xdr:row>3</xdr:row>
      <xdr:rowOff>92075</xdr:rowOff>
    </xdr:to>
    <xdr:sp macro="" textlink="">
      <xdr:nvSpPr>
        <xdr:cNvPr id="4" name="Left-Right Arrow 3"/>
        <xdr:cNvSpPr/>
      </xdr:nvSpPr>
      <xdr:spPr>
        <a:xfrm>
          <a:off x="1422400" y="63500"/>
          <a:ext cx="9486900" cy="606425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(Farm)</a:t>
          </a:r>
          <a:endParaRPr lang="en-GB" sz="1400">
            <a:latin typeface="Cooper Black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857250</xdr:colOff>
          <xdr:row>0</xdr:row>
          <xdr:rowOff>146050</xdr:rowOff>
        </xdr:from>
        <xdr:to>
          <xdr:col>13</xdr:col>
          <xdr:colOff>31750</xdr:colOff>
          <xdr:row>2</xdr:row>
          <xdr:rowOff>184150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95250</xdr:colOff>
      <xdr:row>1</xdr:row>
      <xdr:rowOff>0</xdr:rowOff>
    </xdr:from>
    <xdr:to>
      <xdr:col>3</xdr:col>
      <xdr:colOff>257175</xdr:colOff>
      <xdr:row>3</xdr:row>
      <xdr:rowOff>19050</xdr:rowOff>
    </xdr:to>
    <xdr:sp macro="" textlink="">
      <xdr:nvSpPr>
        <xdr:cNvPr id="6" name="Curved Down Ribbon 5">
          <a:hlinkClick xmlns:r="http://schemas.openxmlformats.org/officeDocument/2006/relationships" r:id="rId1"/>
        </xdr:cNvPr>
        <xdr:cNvSpPr/>
      </xdr:nvSpPr>
      <xdr:spPr>
        <a:xfrm>
          <a:off x="95250" y="190500"/>
          <a:ext cx="1362075" cy="400050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  <xdr:twoCellAnchor>
    <xdr:from>
      <xdr:col>3</xdr:col>
      <xdr:colOff>714375</xdr:colOff>
      <xdr:row>0</xdr:row>
      <xdr:rowOff>47625</xdr:rowOff>
    </xdr:from>
    <xdr:to>
      <xdr:col>10</xdr:col>
      <xdr:colOff>165101</xdr:colOff>
      <xdr:row>3</xdr:row>
      <xdr:rowOff>85725</xdr:rowOff>
    </xdr:to>
    <xdr:sp macro="" textlink="">
      <xdr:nvSpPr>
        <xdr:cNvPr id="9" name="Left-Right Arrow 8"/>
        <xdr:cNvSpPr/>
      </xdr:nvSpPr>
      <xdr:spPr>
        <a:xfrm>
          <a:off x="2009775" y="47625"/>
          <a:ext cx="7229476" cy="615950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(Family)</a:t>
          </a:r>
          <a:endParaRPr lang="en-GB" sz="1400">
            <a:latin typeface="Cooper Black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3</xdr:col>
      <xdr:colOff>38100</xdr:colOff>
      <xdr:row>3</xdr:row>
      <xdr:rowOff>57150</xdr:rowOff>
    </xdr:to>
    <xdr:sp macro="" textlink="">
      <xdr:nvSpPr>
        <xdr:cNvPr id="2" name="Curved Down Ribbon 1">
          <a:hlinkClick xmlns:r="http://schemas.openxmlformats.org/officeDocument/2006/relationships" r:id="rId1"/>
        </xdr:cNvPr>
        <xdr:cNvSpPr/>
      </xdr:nvSpPr>
      <xdr:spPr>
        <a:xfrm>
          <a:off x="104775" y="238125"/>
          <a:ext cx="1362075" cy="400050"/>
        </a:xfrm>
        <a:prstGeom prst="ellipseRibbon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GB" sz="1200">
              <a:latin typeface="Cooper Black" pitchFamily="18" charset="0"/>
            </a:rPr>
            <a:t>Menu</a:t>
          </a:r>
        </a:p>
      </xdr:txBody>
    </xdr:sp>
    <xdr:clientData/>
  </xdr:twoCellAnchor>
  <xdr:twoCellAnchor>
    <xdr:from>
      <xdr:col>3</xdr:col>
      <xdr:colOff>123824</xdr:colOff>
      <xdr:row>0</xdr:row>
      <xdr:rowOff>57150</xdr:rowOff>
    </xdr:from>
    <xdr:to>
      <xdr:col>11</xdr:col>
      <xdr:colOff>1447799</xdr:colOff>
      <xdr:row>3</xdr:row>
      <xdr:rowOff>85725</xdr:rowOff>
    </xdr:to>
    <xdr:sp macro="" textlink="">
      <xdr:nvSpPr>
        <xdr:cNvPr id="4" name="Left-Right Arrow 3"/>
        <xdr:cNvSpPr/>
      </xdr:nvSpPr>
      <xdr:spPr>
        <a:xfrm>
          <a:off x="1552574" y="57150"/>
          <a:ext cx="9401175" cy="609600"/>
        </a:xfrm>
        <a:prstGeom prst="left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400">
              <a:solidFill>
                <a:sysClr val="windowText" lastClr="000000"/>
              </a:solidFill>
              <a:latin typeface="Cooper Black" pitchFamily="18" charset="0"/>
            </a:rPr>
            <a:t>Sai</a:t>
          </a:r>
          <a:r>
            <a:rPr lang="en-GB" sz="1400" baseline="0">
              <a:solidFill>
                <a:sysClr val="windowText" lastClr="000000"/>
              </a:solidFill>
              <a:latin typeface="Cooper Black" pitchFamily="18" charset="0"/>
            </a:rPr>
            <a:t> Su Nee Goat Farm   Main   (Drop and Choice List)</a:t>
          </a:r>
          <a:endParaRPr lang="en-GB" sz="1400">
            <a:latin typeface="Cooper Black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81"/>
  <sheetViews>
    <sheetView workbookViewId="0">
      <pane ySplit="7" topLeftCell="A71" activePane="bottomLeft" state="frozen"/>
      <selection pane="bottomLeft" activeCell="D87" sqref="D87"/>
    </sheetView>
  </sheetViews>
  <sheetFormatPr defaultRowHeight="15.5" x14ac:dyDescent="0.35"/>
  <cols>
    <col min="1" max="1" width="2" customWidth="1"/>
    <col min="2" max="2" width="3.921875" customWidth="1"/>
    <col min="5" max="5" width="14" customWidth="1"/>
    <col min="7" max="7" width="10.23046875" customWidth="1"/>
    <col min="8" max="8" width="16.765625" bestFit="1" customWidth="1"/>
    <col min="9" max="9" width="18.3046875" bestFit="1" customWidth="1"/>
    <col min="10" max="10" width="11.3828125" customWidth="1"/>
    <col min="12" max="12" width="9.3828125" bestFit="1" customWidth="1"/>
    <col min="13" max="13" width="9.15234375" bestFit="1" customWidth="1"/>
    <col min="14" max="14" width="22.53515625" customWidth="1"/>
    <col min="15" max="15" width="9.3828125" style="211" customWidth="1"/>
    <col min="16" max="16" width="13.15234375" customWidth="1"/>
  </cols>
  <sheetData>
    <row r="1" spans="1:23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10"/>
      <c r="P1" s="10"/>
      <c r="Q1" s="10"/>
      <c r="R1" s="10"/>
      <c r="S1" s="10"/>
      <c r="T1" s="10"/>
      <c r="U1" s="10"/>
      <c r="V1" s="10"/>
      <c r="W1" s="10"/>
    </row>
    <row r="2" spans="1:23" ht="16" thickBot="1" x14ac:dyDescent="0.4">
      <c r="A2" s="10"/>
      <c r="B2" s="247" t="s">
        <v>1</v>
      </c>
      <c r="C2" s="247"/>
      <c r="D2" s="9" t="s">
        <v>21</v>
      </c>
      <c r="E2" s="9" t="s">
        <v>6</v>
      </c>
      <c r="F2" s="9" t="s">
        <v>8</v>
      </c>
      <c r="G2" s="9" t="s">
        <v>56</v>
      </c>
      <c r="H2" s="170"/>
      <c r="I2" s="170" t="s">
        <v>173</v>
      </c>
      <c r="J2" s="9" t="s">
        <v>6</v>
      </c>
      <c r="K2" s="9" t="s">
        <v>8</v>
      </c>
      <c r="L2" s="9" t="s">
        <v>133</v>
      </c>
      <c r="M2" s="9" t="s">
        <v>35</v>
      </c>
      <c r="N2" s="10"/>
      <c r="O2" s="224"/>
      <c r="P2" s="10"/>
      <c r="Q2" s="10"/>
      <c r="R2" s="10"/>
      <c r="S2" s="10"/>
      <c r="T2" s="10"/>
      <c r="U2" s="10"/>
      <c r="V2" s="10"/>
      <c r="W2" s="10"/>
    </row>
    <row r="3" spans="1:23" ht="15.5" customHeight="1" x14ac:dyDescent="0.35">
      <c r="A3" s="10"/>
      <c r="B3" s="243">
        <f ca="1">TODAY()</f>
        <v>45083</v>
      </c>
      <c r="C3" s="244"/>
      <c r="D3" s="240">
        <f>COUNTIF($L$8:$L$100,"Alive")</f>
        <v>39</v>
      </c>
      <c r="E3" s="240">
        <f>COUNTIFS($D$8:$D$100,"female",$L$8:$L$100,"Alive")</f>
        <v>26</v>
      </c>
      <c r="F3" s="240">
        <f>COUNTIFS($D$8:$D$100,"male",$L$8:$L$100,"Alive")</f>
        <v>13</v>
      </c>
      <c r="G3" s="240">
        <f>COUNTIF(F8:F100,"Born")</f>
        <v>57</v>
      </c>
      <c r="H3" s="242"/>
      <c r="I3" s="240">
        <f>COUNTA(C8:C100)</f>
        <v>74</v>
      </c>
      <c r="J3" s="240">
        <f>COUNTIF(D8:D100,"female")</f>
        <v>41</v>
      </c>
      <c r="K3" s="240">
        <f>COUNTIF($D$8:$D$100,"male")</f>
        <v>33</v>
      </c>
      <c r="L3" s="240">
        <f>COUNTIF($L$8:$L$100,"Sold")</f>
        <v>7</v>
      </c>
      <c r="M3" s="240">
        <f>COUNTIF($L$8:$L$100,"dead")</f>
        <v>28</v>
      </c>
      <c r="N3" s="10"/>
      <c r="O3" s="210"/>
      <c r="P3" s="10"/>
      <c r="Q3" s="10"/>
      <c r="R3" s="10"/>
      <c r="S3" s="10"/>
      <c r="T3" s="10"/>
      <c r="U3" s="10"/>
      <c r="V3" s="10"/>
      <c r="W3" s="10"/>
    </row>
    <row r="4" spans="1:23" ht="16" customHeight="1" thickBot="1" x14ac:dyDescent="0.4">
      <c r="A4" s="10"/>
      <c r="B4" s="245"/>
      <c r="C4" s="246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10"/>
      <c r="O4" s="210"/>
      <c r="P4" s="10"/>
      <c r="Q4" s="10"/>
      <c r="R4" s="10"/>
      <c r="S4" s="10"/>
      <c r="T4" s="10"/>
      <c r="U4" s="10"/>
      <c r="V4" s="10"/>
      <c r="W4" s="10"/>
    </row>
    <row r="5" spans="1:23" ht="16" thickBot="1" x14ac:dyDescent="0.4">
      <c r="A5" s="10"/>
      <c r="B5" s="120">
        <v>1</v>
      </c>
      <c r="C5" s="120">
        <v>2</v>
      </c>
      <c r="D5" s="120">
        <v>3</v>
      </c>
      <c r="E5" s="120">
        <v>4</v>
      </c>
      <c r="F5" s="120">
        <v>5</v>
      </c>
      <c r="G5" s="120">
        <v>6</v>
      </c>
      <c r="H5" s="120">
        <v>7</v>
      </c>
      <c r="I5" s="120">
        <v>8</v>
      </c>
      <c r="J5" s="120">
        <v>9</v>
      </c>
      <c r="K5" s="120">
        <v>10</v>
      </c>
      <c r="L5" s="120">
        <v>11</v>
      </c>
      <c r="M5" s="120">
        <v>12</v>
      </c>
      <c r="N5" s="120">
        <v>13</v>
      </c>
      <c r="O5" s="212">
        <v>14</v>
      </c>
      <c r="P5" s="120">
        <v>15</v>
      </c>
      <c r="Q5" s="120">
        <v>16</v>
      </c>
      <c r="R5" s="120">
        <v>17</v>
      </c>
      <c r="S5" s="120">
        <v>18</v>
      </c>
      <c r="T5" s="120">
        <v>19</v>
      </c>
      <c r="U5" s="120">
        <v>20</v>
      </c>
      <c r="V5" s="120">
        <v>21</v>
      </c>
      <c r="W5" s="120">
        <v>22</v>
      </c>
    </row>
    <row r="6" spans="1:23" x14ac:dyDescent="0.35">
      <c r="A6" s="10"/>
      <c r="B6" s="248" t="s">
        <v>74</v>
      </c>
      <c r="C6" s="238" t="s">
        <v>0</v>
      </c>
      <c r="D6" s="238" t="s">
        <v>2</v>
      </c>
      <c r="E6" s="250" t="s">
        <v>81</v>
      </c>
      <c r="F6" s="236" t="s">
        <v>76</v>
      </c>
      <c r="G6" s="238" t="s">
        <v>4</v>
      </c>
      <c r="H6" s="238" t="s">
        <v>47</v>
      </c>
      <c r="I6" s="238" t="s">
        <v>50</v>
      </c>
      <c r="J6" s="238" t="s">
        <v>55</v>
      </c>
      <c r="K6" s="238" t="s">
        <v>70</v>
      </c>
      <c r="L6" s="236" t="s">
        <v>69</v>
      </c>
      <c r="M6" s="253" t="s">
        <v>3</v>
      </c>
      <c r="N6" s="261" t="s">
        <v>232</v>
      </c>
      <c r="O6" s="262" t="s">
        <v>68</v>
      </c>
      <c r="P6" s="238" t="s">
        <v>97</v>
      </c>
      <c r="Q6" s="238" t="s">
        <v>44</v>
      </c>
      <c r="R6" s="252" t="s">
        <v>230</v>
      </c>
      <c r="S6" s="238" t="s">
        <v>156</v>
      </c>
      <c r="T6" s="255" t="s">
        <v>74</v>
      </c>
      <c r="U6" s="257" t="s">
        <v>144</v>
      </c>
      <c r="V6" s="264" t="s">
        <v>234</v>
      </c>
      <c r="W6" s="259" t="s">
        <v>157</v>
      </c>
    </row>
    <row r="7" spans="1:23" ht="16" thickBot="1" x14ac:dyDescent="0.4">
      <c r="A7" s="10"/>
      <c r="B7" s="249"/>
      <c r="C7" s="239"/>
      <c r="D7" s="239"/>
      <c r="E7" s="251"/>
      <c r="F7" s="237"/>
      <c r="G7" s="239"/>
      <c r="H7" s="239"/>
      <c r="I7" s="239"/>
      <c r="J7" s="239"/>
      <c r="K7" s="239"/>
      <c r="L7" s="237"/>
      <c r="M7" s="254"/>
      <c r="N7" s="237"/>
      <c r="O7" s="263"/>
      <c r="P7" s="239"/>
      <c r="Q7" s="239"/>
      <c r="R7" s="239"/>
      <c r="S7" s="239"/>
      <c r="T7" s="256"/>
      <c r="U7" s="258"/>
      <c r="V7" s="258"/>
      <c r="W7" s="260"/>
    </row>
    <row r="8" spans="1:23" x14ac:dyDescent="0.35">
      <c r="A8" s="10"/>
      <c r="B8" s="121">
        <v>1</v>
      </c>
      <c r="C8" s="122" t="s">
        <v>7</v>
      </c>
      <c r="D8" s="121" t="s">
        <v>8</v>
      </c>
      <c r="E8" s="123">
        <v>43807</v>
      </c>
      <c r="F8" s="124" t="s">
        <v>75</v>
      </c>
      <c r="G8" s="121" t="s">
        <v>22</v>
      </c>
      <c r="H8" s="121" t="s">
        <v>22</v>
      </c>
      <c r="I8" s="121" t="s">
        <v>47</v>
      </c>
      <c r="J8" s="123">
        <v>44711</v>
      </c>
      <c r="K8" s="121"/>
      <c r="L8" s="122" t="s">
        <v>133</v>
      </c>
      <c r="M8" s="125">
        <v>2000</v>
      </c>
      <c r="N8" s="121" t="str">
        <f>DATEDIF($E8,$J8,"y")&amp;" Years "&amp;DATEDIF($E8,$J8,"ym")&amp;" Month "&amp;DATEDIF($E8,$J8,"md")&amp;" Days "</f>
        <v xml:space="preserve">2 Years 5 Month 22 Days </v>
      </c>
      <c r="O8" s="228" t="str">
        <f>TEXT(E8,"dddd")</f>
        <v>søndag</v>
      </c>
      <c r="P8" s="121"/>
      <c r="Q8" s="121"/>
      <c r="R8" s="163">
        <v>4290</v>
      </c>
      <c r="S8" s="121">
        <v>66</v>
      </c>
      <c r="T8" s="121">
        <v>1</v>
      </c>
      <c r="U8" s="127">
        <f>YEAR($E8)</f>
        <v>2019</v>
      </c>
      <c r="V8" s="127">
        <f t="shared" ref="V8:V71" si="0">IF(J8=0,"",YEAR(J8))</f>
        <v>2022</v>
      </c>
      <c r="W8" s="126" t="s">
        <v>221</v>
      </c>
    </row>
    <row r="9" spans="1:23" x14ac:dyDescent="0.35">
      <c r="A9" s="10"/>
      <c r="B9" s="119">
        <v>2</v>
      </c>
      <c r="C9" s="128" t="s">
        <v>5</v>
      </c>
      <c r="D9" s="119" t="s">
        <v>6</v>
      </c>
      <c r="E9" s="129">
        <v>43807</v>
      </c>
      <c r="F9" s="130" t="s">
        <v>75</v>
      </c>
      <c r="G9" s="119" t="s">
        <v>22</v>
      </c>
      <c r="H9" s="119" t="s">
        <v>22</v>
      </c>
      <c r="I9" s="119" t="s">
        <v>4</v>
      </c>
      <c r="J9" s="127"/>
      <c r="K9" s="127"/>
      <c r="L9" s="119" t="s">
        <v>21</v>
      </c>
      <c r="M9" s="131">
        <v>1500</v>
      </c>
      <c r="N9" s="127" t="str">
        <f ca="1">DATEDIF($E9,TODAY(),"y")&amp;" Years "&amp;DATEDIF($E9,TODAY(),"ym")&amp;" Month "&amp;DATEDIF($E9,TODAY(),"md")&amp;" Days "</f>
        <v xml:space="preserve">3 Years 5 Month 29 Days </v>
      </c>
      <c r="O9" s="229" t="str">
        <f t="shared" ref="O9:O72" si="1">TEXT(E9,"dddd")</f>
        <v>søndag</v>
      </c>
      <c r="P9" s="119"/>
      <c r="Q9" s="119"/>
      <c r="R9" s="119"/>
      <c r="S9" s="119"/>
      <c r="T9" s="119">
        <v>2</v>
      </c>
      <c r="U9" s="119">
        <f>YEAR($E9)</f>
        <v>2019</v>
      </c>
      <c r="V9" s="127" t="str">
        <f t="shared" si="0"/>
        <v/>
      </c>
      <c r="W9" s="126" t="s">
        <v>221</v>
      </c>
    </row>
    <row r="10" spans="1:23" x14ac:dyDescent="0.35">
      <c r="A10" s="10"/>
      <c r="B10" s="132">
        <v>3</v>
      </c>
      <c r="C10" s="133" t="s">
        <v>9</v>
      </c>
      <c r="D10" s="162" t="s">
        <v>6</v>
      </c>
      <c r="E10" s="134">
        <v>43807</v>
      </c>
      <c r="F10" s="135" t="s">
        <v>75</v>
      </c>
      <c r="G10" s="132" t="s">
        <v>22</v>
      </c>
      <c r="H10" s="132" t="s">
        <v>22</v>
      </c>
      <c r="I10" s="132" t="s">
        <v>4</v>
      </c>
      <c r="J10" s="134">
        <v>44349</v>
      </c>
      <c r="K10" s="132" t="s">
        <v>27</v>
      </c>
      <c r="L10" s="132" t="s">
        <v>35</v>
      </c>
      <c r="M10" s="136">
        <v>2000</v>
      </c>
      <c r="N10" s="132" t="str">
        <f>DATEDIF($E10,$J10,"y")&amp;" Years "&amp;DATEDIF($E10,$J10,"ym")&amp;" Month "&amp;DATEDIF($E10,$J10,"md")&amp;" Days "</f>
        <v xml:space="preserve">1 Years 5 Month 25 Days </v>
      </c>
      <c r="O10" s="230" t="str">
        <f t="shared" si="1"/>
        <v>søndag</v>
      </c>
      <c r="P10" s="132"/>
      <c r="Q10" s="132"/>
      <c r="R10" s="132"/>
      <c r="S10" s="132"/>
      <c r="T10" s="132">
        <v>3</v>
      </c>
      <c r="U10" s="119">
        <f t="shared" ref="U10:U73" si="2">YEAR($E10)</f>
        <v>2019</v>
      </c>
      <c r="V10" s="127">
        <f t="shared" si="0"/>
        <v>2021</v>
      </c>
      <c r="W10" s="126" t="s">
        <v>221</v>
      </c>
    </row>
    <row r="11" spans="1:23" x14ac:dyDescent="0.35">
      <c r="A11" s="10"/>
      <c r="B11" s="132">
        <v>4</v>
      </c>
      <c r="C11" s="133" t="s">
        <v>10</v>
      </c>
      <c r="D11" s="132" t="s">
        <v>6</v>
      </c>
      <c r="E11" s="134">
        <v>43814</v>
      </c>
      <c r="F11" s="135" t="s">
        <v>75</v>
      </c>
      <c r="G11" s="132" t="s">
        <v>22</v>
      </c>
      <c r="H11" s="132" t="s">
        <v>22</v>
      </c>
      <c r="I11" s="132" t="s">
        <v>4</v>
      </c>
      <c r="J11" s="134">
        <v>44104</v>
      </c>
      <c r="K11" s="132" t="s">
        <v>27</v>
      </c>
      <c r="L11" s="132" t="s">
        <v>35</v>
      </c>
      <c r="M11" s="136">
        <v>4000</v>
      </c>
      <c r="N11" s="132" t="str">
        <f>DATEDIF($E11,$J11,"y")&amp;" Years "&amp;DATEDIF($E11,$J11,"ym")&amp;" Month "&amp;DATEDIF($E11,$J11,"md")&amp;" Days "</f>
        <v xml:space="preserve">0 Years 9 Month 15 Days </v>
      </c>
      <c r="O11" s="230" t="str">
        <f t="shared" si="1"/>
        <v>søndag</v>
      </c>
      <c r="P11" s="132"/>
      <c r="Q11" s="132"/>
      <c r="R11" s="132"/>
      <c r="S11" s="132"/>
      <c r="T11" s="132">
        <v>4</v>
      </c>
      <c r="U11" s="119">
        <f t="shared" si="2"/>
        <v>2019</v>
      </c>
      <c r="V11" s="127">
        <f t="shared" si="0"/>
        <v>2020</v>
      </c>
      <c r="W11" s="126" t="s">
        <v>221</v>
      </c>
    </row>
    <row r="12" spans="1:23" x14ac:dyDescent="0.35">
      <c r="A12" s="10"/>
      <c r="B12" s="119">
        <v>5</v>
      </c>
      <c r="C12" s="128" t="s">
        <v>103</v>
      </c>
      <c r="D12" s="119" t="s">
        <v>6</v>
      </c>
      <c r="E12" s="129">
        <v>43823</v>
      </c>
      <c r="F12" s="130" t="s">
        <v>75</v>
      </c>
      <c r="G12" s="119" t="s">
        <v>22</v>
      </c>
      <c r="H12" s="119" t="s">
        <v>22</v>
      </c>
      <c r="I12" s="119" t="s">
        <v>4</v>
      </c>
      <c r="J12" s="127"/>
      <c r="K12" s="127"/>
      <c r="L12" s="119" t="s">
        <v>21</v>
      </c>
      <c r="M12" s="131">
        <v>2600</v>
      </c>
      <c r="N12" s="127" t="str">
        <f ca="1">DATEDIF($E12,TODAY(),"y")&amp;" Years "&amp;DATEDIF($E12,TODAY(),"ym")&amp;" Month "&amp;DATEDIF($E12,TODAY(),"md")&amp;" Days "</f>
        <v xml:space="preserve">3 Years 5 Month 13 Days </v>
      </c>
      <c r="O12" s="229" t="str">
        <f t="shared" si="1"/>
        <v>tirsdag</v>
      </c>
      <c r="P12" s="119"/>
      <c r="Q12" s="119"/>
      <c r="R12" s="119"/>
      <c r="S12" s="119"/>
      <c r="T12" s="119">
        <v>5</v>
      </c>
      <c r="U12" s="119">
        <f t="shared" si="2"/>
        <v>2019</v>
      </c>
      <c r="V12" s="127" t="str">
        <f t="shared" si="0"/>
        <v/>
      </c>
      <c r="W12" s="126" t="s">
        <v>221</v>
      </c>
    </row>
    <row r="13" spans="1:23" x14ac:dyDescent="0.35">
      <c r="A13" s="10"/>
      <c r="B13" s="119">
        <v>6</v>
      </c>
      <c r="C13" s="128" t="s">
        <v>13</v>
      </c>
      <c r="D13" s="119" t="s">
        <v>6</v>
      </c>
      <c r="E13" s="129">
        <v>43823</v>
      </c>
      <c r="F13" s="130" t="s">
        <v>75</v>
      </c>
      <c r="G13" s="119" t="s">
        <v>22</v>
      </c>
      <c r="H13" s="119" t="s">
        <v>22</v>
      </c>
      <c r="I13" s="119" t="s">
        <v>4</v>
      </c>
      <c r="J13" s="127"/>
      <c r="K13" s="127"/>
      <c r="L13" s="119" t="s">
        <v>21</v>
      </c>
      <c r="M13" s="131">
        <v>3100</v>
      </c>
      <c r="N13" s="127" t="str">
        <f ca="1">DATEDIF($E13,TODAY(),"y")&amp;" Years "&amp;DATEDIF($E13,TODAY(),"ym")&amp;" Month "&amp;DATEDIF($E13,TODAY(),"md")&amp;" Days "</f>
        <v xml:space="preserve">3 Years 5 Month 13 Days </v>
      </c>
      <c r="O13" s="229" t="str">
        <f t="shared" si="1"/>
        <v>tirsdag</v>
      </c>
      <c r="P13" s="119"/>
      <c r="Q13" s="119"/>
      <c r="R13" s="119"/>
      <c r="S13" s="119"/>
      <c r="T13" s="119">
        <v>6</v>
      </c>
      <c r="U13" s="119">
        <f t="shared" si="2"/>
        <v>2019</v>
      </c>
      <c r="V13" s="127" t="str">
        <f>IF(J13=0,"",YEAR(J13))</f>
        <v/>
      </c>
      <c r="W13" s="126" t="s">
        <v>221</v>
      </c>
    </row>
    <row r="14" spans="1:23" ht="16" thickBot="1" x14ac:dyDescent="0.4">
      <c r="A14" s="10"/>
      <c r="B14" s="137">
        <v>7</v>
      </c>
      <c r="C14" s="138" t="s">
        <v>14</v>
      </c>
      <c r="D14" s="137" t="s">
        <v>6</v>
      </c>
      <c r="E14" s="139">
        <v>43823</v>
      </c>
      <c r="F14" s="140" t="s">
        <v>75</v>
      </c>
      <c r="G14" s="137" t="s">
        <v>22</v>
      </c>
      <c r="H14" s="137" t="s">
        <v>22</v>
      </c>
      <c r="I14" s="137" t="s">
        <v>4</v>
      </c>
      <c r="J14" s="139">
        <v>44103</v>
      </c>
      <c r="K14" s="137" t="s">
        <v>27</v>
      </c>
      <c r="L14" s="137" t="s">
        <v>35</v>
      </c>
      <c r="M14" s="141">
        <v>3100</v>
      </c>
      <c r="N14" s="137" t="str">
        <f>DATEDIF($E14,$J14,"y")&amp;" Years "&amp;DATEDIF($E14,$J14,"ym")&amp;" Month "&amp;DATEDIF($E14,$J14,"md")&amp;" Days "</f>
        <v xml:space="preserve">0 Years 9 Month 5 Days </v>
      </c>
      <c r="O14" s="231" t="str">
        <f t="shared" si="1"/>
        <v>tirsdag</v>
      </c>
      <c r="P14" s="137"/>
      <c r="Q14" s="137"/>
      <c r="R14" s="137"/>
      <c r="S14" s="137"/>
      <c r="T14" s="137">
        <v>7</v>
      </c>
      <c r="U14" s="149">
        <f t="shared" si="2"/>
        <v>2019</v>
      </c>
      <c r="V14" s="147">
        <f t="shared" si="0"/>
        <v>2020</v>
      </c>
      <c r="W14" s="142" t="s">
        <v>221</v>
      </c>
    </row>
    <row r="15" spans="1:23" x14ac:dyDescent="0.35">
      <c r="A15" s="10"/>
      <c r="B15" s="132">
        <v>8</v>
      </c>
      <c r="C15" s="133" t="s">
        <v>31</v>
      </c>
      <c r="D15" s="132" t="s">
        <v>6</v>
      </c>
      <c r="E15" s="134">
        <v>43841</v>
      </c>
      <c r="F15" s="135" t="s">
        <v>56</v>
      </c>
      <c r="G15" s="133" t="s">
        <v>10</v>
      </c>
      <c r="H15" s="132" t="s">
        <v>22</v>
      </c>
      <c r="I15" s="132" t="s">
        <v>48</v>
      </c>
      <c r="J15" s="134">
        <v>44165</v>
      </c>
      <c r="K15" s="132" t="s">
        <v>27</v>
      </c>
      <c r="L15" s="132" t="s">
        <v>35</v>
      </c>
      <c r="M15" s="132" t="s">
        <v>15</v>
      </c>
      <c r="N15" s="132" t="str">
        <f>DATEDIF($E15,$J15,"y")&amp;" Years "&amp;DATEDIF($E15,$J15,"ym")&amp;" Month "&amp;DATEDIF($E15,$J15,"md")&amp;" Days "</f>
        <v xml:space="preserve">0 Years 10 Month 19 Days </v>
      </c>
      <c r="O15" s="230" t="str">
        <f t="shared" si="1"/>
        <v>lørdag</v>
      </c>
      <c r="P15" s="132"/>
      <c r="Q15" s="132"/>
      <c r="R15" s="132"/>
      <c r="S15" s="132"/>
      <c r="T15" s="132">
        <v>8</v>
      </c>
      <c r="U15" s="119">
        <f t="shared" si="2"/>
        <v>2020</v>
      </c>
      <c r="V15" s="127">
        <f t="shared" si="0"/>
        <v>2020</v>
      </c>
      <c r="W15" s="126" t="s">
        <v>222</v>
      </c>
    </row>
    <row r="16" spans="1:23" x14ac:dyDescent="0.35">
      <c r="A16" s="10"/>
      <c r="B16" s="132">
        <v>9</v>
      </c>
      <c r="C16" s="133" t="s">
        <v>20</v>
      </c>
      <c r="D16" s="132" t="s">
        <v>6</v>
      </c>
      <c r="E16" s="134">
        <v>43899</v>
      </c>
      <c r="F16" s="135" t="s">
        <v>56</v>
      </c>
      <c r="G16" s="133" t="s">
        <v>9</v>
      </c>
      <c r="H16" s="132" t="s">
        <v>22</v>
      </c>
      <c r="I16" s="132" t="s">
        <v>48</v>
      </c>
      <c r="J16" s="134">
        <v>44126</v>
      </c>
      <c r="K16" s="132" t="s">
        <v>80</v>
      </c>
      <c r="L16" s="132" t="s">
        <v>35</v>
      </c>
      <c r="M16" s="143" t="s">
        <v>15</v>
      </c>
      <c r="N16" s="132" t="str">
        <f>DATEDIF($E16,$J16,"y")&amp;" Years "&amp;DATEDIF($E16,$J16,"ym")&amp;" Month "&amp;DATEDIF($E16,$J16,"md")&amp;" Days "</f>
        <v xml:space="preserve">0 Years 7 Month 13 Days </v>
      </c>
      <c r="O16" s="230" t="str">
        <f t="shared" si="1"/>
        <v>mandag</v>
      </c>
      <c r="P16" s="132"/>
      <c r="Q16" s="132"/>
      <c r="R16" s="132"/>
      <c r="S16" s="132"/>
      <c r="T16" s="132">
        <v>9</v>
      </c>
      <c r="U16" s="119">
        <f t="shared" si="2"/>
        <v>2020</v>
      </c>
      <c r="V16" s="127">
        <f t="shared" si="0"/>
        <v>2020</v>
      </c>
      <c r="W16" s="126" t="s">
        <v>223</v>
      </c>
    </row>
    <row r="17" spans="1:23" x14ac:dyDescent="0.35">
      <c r="A17" s="10"/>
      <c r="B17" s="132">
        <v>10</v>
      </c>
      <c r="C17" s="133" t="s">
        <v>23</v>
      </c>
      <c r="D17" s="132" t="s">
        <v>6</v>
      </c>
      <c r="E17" s="134">
        <v>43969</v>
      </c>
      <c r="F17" s="135" t="s">
        <v>56</v>
      </c>
      <c r="G17" s="132" t="s">
        <v>103</v>
      </c>
      <c r="H17" s="132" t="s">
        <v>22</v>
      </c>
      <c r="I17" s="132" t="s">
        <v>48</v>
      </c>
      <c r="J17" s="134">
        <v>44356</v>
      </c>
      <c r="K17" s="132" t="s">
        <v>27</v>
      </c>
      <c r="L17" s="132" t="s">
        <v>35</v>
      </c>
      <c r="M17" s="132" t="s">
        <v>15</v>
      </c>
      <c r="N17" s="132" t="str">
        <f>DATEDIF($E17,$J17,"y")&amp;" Years "&amp;DATEDIF($E17,$J17,"ym")&amp;" Month "&amp;DATEDIF($E17,$J17,"md")&amp;" Days "</f>
        <v xml:space="preserve">1 Years 0 Month 22 Days </v>
      </c>
      <c r="O17" s="230" t="str">
        <f t="shared" si="1"/>
        <v>mandag</v>
      </c>
      <c r="P17" s="132"/>
      <c r="Q17" s="132"/>
      <c r="R17" s="132"/>
      <c r="S17" s="132"/>
      <c r="T17" s="132">
        <v>10</v>
      </c>
      <c r="U17" s="119">
        <f t="shared" si="2"/>
        <v>2020</v>
      </c>
      <c r="V17" s="127">
        <f t="shared" si="0"/>
        <v>2021</v>
      </c>
      <c r="W17" s="126" t="s">
        <v>224</v>
      </c>
    </row>
    <row r="18" spans="1:23" x14ac:dyDescent="0.35">
      <c r="A18" s="10"/>
      <c r="B18" s="132">
        <v>11</v>
      </c>
      <c r="C18" s="133" t="s">
        <v>26</v>
      </c>
      <c r="D18" s="132" t="s">
        <v>6</v>
      </c>
      <c r="E18" s="134">
        <v>43974</v>
      </c>
      <c r="F18" s="135" t="s">
        <v>75</v>
      </c>
      <c r="G18" s="132" t="s">
        <v>22</v>
      </c>
      <c r="H18" s="132" t="s">
        <v>22</v>
      </c>
      <c r="I18" s="132" t="s">
        <v>4</v>
      </c>
      <c r="J18" s="134">
        <v>44285</v>
      </c>
      <c r="K18" s="132" t="s">
        <v>27</v>
      </c>
      <c r="L18" s="132" t="s">
        <v>35</v>
      </c>
      <c r="M18" s="136">
        <v>2500</v>
      </c>
      <c r="N18" s="132" t="str">
        <f>DATEDIF($E18,$J18,"y")&amp;" Years "&amp;DATEDIF($E18,$J18,"ym")&amp;" Month "&amp;DATEDIF($E18,$J18,"md")&amp;" Days "</f>
        <v xml:space="preserve">0 Years 10 Month 7 Days </v>
      </c>
      <c r="O18" s="230" t="str">
        <f t="shared" si="1"/>
        <v>lørdag</v>
      </c>
      <c r="P18" s="132"/>
      <c r="Q18" s="132"/>
      <c r="R18" s="132"/>
      <c r="S18" s="132"/>
      <c r="T18" s="132">
        <v>11</v>
      </c>
      <c r="U18" s="119">
        <f t="shared" si="2"/>
        <v>2020</v>
      </c>
      <c r="V18" s="127">
        <f t="shared" si="0"/>
        <v>2021</v>
      </c>
      <c r="W18" s="126" t="s">
        <v>224</v>
      </c>
    </row>
    <row r="19" spans="1:23" x14ac:dyDescent="0.35">
      <c r="A19" s="10"/>
      <c r="B19" s="119">
        <v>12</v>
      </c>
      <c r="C19" s="128" t="s">
        <v>24</v>
      </c>
      <c r="D19" s="119" t="s">
        <v>6</v>
      </c>
      <c r="E19" s="129">
        <v>43974</v>
      </c>
      <c r="F19" s="130" t="s">
        <v>75</v>
      </c>
      <c r="G19" s="119" t="s">
        <v>26</v>
      </c>
      <c r="H19" s="119" t="s">
        <v>22</v>
      </c>
      <c r="I19" s="119" t="s">
        <v>48</v>
      </c>
      <c r="J19" s="127"/>
      <c r="K19" s="127"/>
      <c r="L19" s="119" t="s">
        <v>21</v>
      </c>
      <c r="M19" s="131">
        <v>1500</v>
      </c>
      <c r="N19" s="127" t="str">
        <f ca="1">DATEDIF($E19,TODAY(),"y")&amp;" Years "&amp;DATEDIF($E19,TODAY(),"ym")&amp;" Month "&amp;DATEDIF($E19,TODAY(),"md")&amp;" Days "</f>
        <v xml:space="preserve">3 Years 0 Month 14 Days </v>
      </c>
      <c r="O19" s="229" t="str">
        <f t="shared" si="1"/>
        <v>lørdag</v>
      </c>
      <c r="P19" s="119" t="s">
        <v>101</v>
      </c>
      <c r="Q19" s="119" t="s">
        <v>44</v>
      </c>
      <c r="R19" s="119"/>
      <c r="S19" s="119"/>
      <c r="T19" s="119">
        <v>12</v>
      </c>
      <c r="U19" s="119">
        <f t="shared" si="2"/>
        <v>2020</v>
      </c>
      <c r="V19" s="127" t="str">
        <f t="shared" si="0"/>
        <v/>
      </c>
      <c r="W19" s="126" t="s">
        <v>224</v>
      </c>
    </row>
    <row r="20" spans="1:23" x14ac:dyDescent="0.35">
      <c r="A20" s="10"/>
      <c r="B20" s="132">
        <v>13</v>
      </c>
      <c r="C20" s="133" t="s">
        <v>25</v>
      </c>
      <c r="D20" s="132" t="s">
        <v>8</v>
      </c>
      <c r="E20" s="134">
        <v>43974</v>
      </c>
      <c r="F20" s="135" t="s">
        <v>75</v>
      </c>
      <c r="G20" s="133" t="s">
        <v>26</v>
      </c>
      <c r="H20" s="132" t="s">
        <v>22</v>
      </c>
      <c r="I20" s="132" t="s">
        <v>49</v>
      </c>
      <c r="J20" s="144">
        <v>44155</v>
      </c>
      <c r="K20" s="132" t="s">
        <v>54</v>
      </c>
      <c r="L20" s="132" t="s">
        <v>35</v>
      </c>
      <c r="M20" s="136">
        <v>1000</v>
      </c>
      <c r="N20" s="132" t="str">
        <f t="shared" ref="N20:N25" si="3">DATEDIF($E20,$J20,"y")&amp;" Years "&amp;DATEDIF($E20,$J20,"ym")&amp;" Month "&amp;DATEDIF($E20,$J20,"md")&amp;" Days "</f>
        <v xml:space="preserve">0 Years 5 Month 28 Days </v>
      </c>
      <c r="O20" s="230" t="str">
        <f t="shared" si="1"/>
        <v>lørdag</v>
      </c>
      <c r="P20" s="132" t="s">
        <v>101</v>
      </c>
      <c r="Q20" s="132" t="s">
        <v>44</v>
      </c>
      <c r="R20" s="132"/>
      <c r="S20" s="132"/>
      <c r="T20" s="132">
        <v>13</v>
      </c>
      <c r="U20" s="119">
        <f t="shared" si="2"/>
        <v>2020</v>
      </c>
      <c r="V20" s="127">
        <f t="shared" si="0"/>
        <v>2020</v>
      </c>
      <c r="W20" s="126" t="s">
        <v>224</v>
      </c>
    </row>
    <row r="21" spans="1:23" x14ac:dyDescent="0.35">
      <c r="A21" s="10"/>
      <c r="B21" s="132">
        <v>14</v>
      </c>
      <c r="C21" s="133" t="s">
        <v>30</v>
      </c>
      <c r="D21" s="132" t="s">
        <v>6</v>
      </c>
      <c r="E21" s="134">
        <v>43977</v>
      </c>
      <c r="F21" s="135" t="s">
        <v>56</v>
      </c>
      <c r="G21" s="132" t="s">
        <v>13</v>
      </c>
      <c r="H21" s="132" t="s">
        <v>7</v>
      </c>
      <c r="I21" s="132" t="s">
        <v>48</v>
      </c>
      <c r="J21" s="134">
        <v>44353</v>
      </c>
      <c r="K21" s="132" t="s">
        <v>27</v>
      </c>
      <c r="L21" s="132" t="s">
        <v>35</v>
      </c>
      <c r="M21" s="132" t="s">
        <v>15</v>
      </c>
      <c r="N21" s="132" t="str">
        <f t="shared" si="3"/>
        <v xml:space="preserve">1 Years 0 Month 11 Days </v>
      </c>
      <c r="O21" s="230" t="str">
        <f t="shared" si="1"/>
        <v>tirsdag</v>
      </c>
      <c r="P21" s="132"/>
      <c r="Q21" s="132"/>
      <c r="R21" s="132"/>
      <c r="S21" s="132"/>
      <c r="T21" s="132">
        <v>14</v>
      </c>
      <c r="U21" s="119">
        <f t="shared" si="2"/>
        <v>2020</v>
      </c>
      <c r="V21" s="127">
        <f t="shared" si="0"/>
        <v>2021</v>
      </c>
      <c r="W21" s="126" t="s">
        <v>224</v>
      </c>
    </row>
    <row r="22" spans="1:23" x14ac:dyDescent="0.35">
      <c r="A22" s="10"/>
      <c r="B22" s="132">
        <v>15</v>
      </c>
      <c r="C22" s="133" t="s">
        <v>28</v>
      </c>
      <c r="D22" s="132" t="s">
        <v>8</v>
      </c>
      <c r="E22" s="134">
        <v>44039</v>
      </c>
      <c r="F22" s="135" t="s">
        <v>56</v>
      </c>
      <c r="G22" s="133" t="s">
        <v>14</v>
      </c>
      <c r="H22" s="132" t="s">
        <v>7</v>
      </c>
      <c r="I22" s="132" t="s">
        <v>49</v>
      </c>
      <c r="J22" s="144">
        <v>44175</v>
      </c>
      <c r="K22" s="132" t="s">
        <v>27</v>
      </c>
      <c r="L22" s="132" t="s">
        <v>35</v>
      </c>
      <c r="M22" s="143" t="s">
        <v>15</v>
      </c>
      <c r="N22" s="132" t="str">
        <f t="shared" si="3"/>
        <v xml:space="preserve">0 Years 4 Month 13 Days </v>
      </c>
      <c r="O22" s="230" t="str">
        <f t="shared" si="1"/>
        <v>mandag</v>
      </c>
      <c r="P22" s="132" t="s">
        <v>99</v>
      </c>
      <c r="Q22" s="132" t="s">
        <v>44</v>
      </c>
      <c r="R22" s="132"/>
      <c r="S22" s="132"/>
      <c r="T22" s="132">
        <v>15</v>
      </c>
      <c r="U22" s="119">
        <f t="shared" si="2"/>
        <v>2020</v>
      </c>
      <c r="V22" s="127">
        <f t="shared" si="0"/>
        <v>2020</v>
      </c>
      <c r="W22" s="126" t="s">
        <v>225</v>
      </c>
    </row>
    <row r="23" spans="1:23" x14ac:dyDescent="0.35">
      <c r="A23" s="10"/>
      <c r="B23" s="132">
        <v>16</v>
      </c>
      <c r="C23" s="133" t="s">
        <v>29</v>
      </c>
      <c r="D23" s="132" t="s">
        <v>8</v>
      </c>
      <c r="E23" s="134">
        <v>44039</v>
      </c>
      <c r="F23" s="135" t="s">
        <v>56</v>
      </c>
      <c r="G23" s="133" t="s">
        <v>14</v>
      </c>
      <c r="H23" s="132" t="s">
        <v>7</v>
      </c>
      <c r="I23" s="132" t="s">
        <v>49</v>
      </c>
      <c r="J23" s="144">
        <v>44165</v>
      </c>
      <c r="K23" s="132" t="s">
        <v>27</v>
      </c>
      <c r="L23" s="132" t="s">
        <v>35</v>
      </c>
      <c r="M23" s="135" t="s">
        <v>15</v>
      </c>
      <c r="N23" s="132" t="str">
        <f t="shared" si="3"/>
        <v xml:space="preserve">0 Years 4 Month 3 Days </v>
      </c>
      <c r="O23" s="230" t="str">
        <f t="shared" si="1"/>
        <v>mandag</v>
      </c>
      <c r="P23" s="132" t="s">
        <v>99</v>
      </c>
      <c r="Q23" s="132" t="s">
        <v>44</v>
      </c>
      <c r="R23" s="132"/>
      <c r="S23" s="132"/>
      <c r="T23" s="132">
        <v>16</v>
      </c>
      <c r="U23" s="119">
        <f t="shared" si="2"/>
        <v>2020</v>
      </c>
      <c r="V23" s="127">
        <f t="shared" si="0"/>
        <v>2020</v>
      </c>
      <c r="W23" s="126" t="s">
        <v>225</v>
      </c>
    </row>
    <row r="24" spans="1:23" x14ac:dyDescent="0.35">
      <c r="A24" s="10"/>
      <c r="B24" s="132">
        <v>17</v>
      </c>
      <c r="C24" s="133" t="s">
        <v>32</v>
      </c>
      <c r="D24" s="132" t="s">
        <v>8</v>
      </c>
      <c r="E24" s="134">
        <v>44081</v>
      </c>
      <c r="F24" s="135" t="s">
        <v>56</v>
      </c>
      <c r="G24" s="132" t="s">
        <v>5</v>
      </c>
      <c r="H24" s="132" t="s">
        <v>7</v>
      </c>
      <c r="I24" s="132" t="s">
        <v>49</v>
      </c>
      <c r="J24" s="144">
        <v>44225</v>
      </c>
      <c r="K24" s="132" t="s">
        <v>27</v>
      </c>
      <c r="L24" s="132" t="s">
        <v>35</v>
      </c>
      <c r="M24" s="132" t="s">
        <v>15</v>
      </c>
      <c r="N24" s="132" t="str">
        <f t="shared" si="3"/>
        <v xml:space="preserve">0 Years 4 Month 22 Days </v>
      </c>
      <c r="O24" s="230" t="str">
        <f t="shared" si="1"/>
        <v>mandag</v>
      </c>
      <c r="P24" s="132" t="s">
        <v>98</v>
      </c>
      <c r="Q24" s="132"/>
      <c r="R24" s="132"/>
      <c r="S24" s="132"/>
      <c r="T24" s="132">
        <v>17</v>
      </c>
      <c r="U24" s="119">
        <f t="shared" si="2"/>
        <v>2020</v>
      </c>
      <c r="V24" s="127">
        <f t="shared" si="0"/>
        <v>2021</v>
      </c>
      <c r="W24" s="126" t="s">
        <v>226</v>
      </c>
    </row>
    <row r="25" spans="1:23" x14ac:dyDescent="0.35">
      <c r="A25" s="10"/>
      <c r="B25" s="132">
        <v>18</v>
      </c>
      <c r="C25" s="133" t="s">
        <v>33</v>
      </c>
      <c r="D25" s="132" t="s">
        <v>8</v>
      </c>
      <c r="E25" s="134">
        <v>44081</v>
      </c>
      <c r="F25" s="135" t="s">
        <v>56</v>
      </c>
      <c r="G25" s="133" t="s">
        <v>10</v>
      </c>
      <c r="H25" s="132" t="s">
        <v>7</v>
      </c>
      <c r="I25" s="132" t="s">
        <v>49</v>
      </c>
      <c r="J25" s="144">
        <v>44086</v>
      </c>
      <c r="K25" s="132" t="s">
        <v>72</v>
      </c>
      <c r="L25" s="132" t="s">
        <v>35</v>
      </c>
      <c r="M25" s="143" t="s">
        <v>15</v>
      </c>
      <c r="N25" s="132" t="str">
        <f t="shared" si="3"/>
        <v xml:space="preserve">0 Years 0 Month 5 Days </v>
      </c>
      <c r="O25" s="230" t="str">
        <f t="shared" si="1"/>
        <v>mandag</v>
      </c>
      <c r="P25" s="132" t="s">
        <v>98</v>
      </c>
      <c r="Q25" s="132"/>
      <c r="R25" s="132"/>
      <c r="S25" s="132"/>
      <c r="T25" s="132">
        <v>18</v>
      </c>
      <c r="U25" s="119">
        <f t="shared" si="2"/>
        <v>2020</v>
      </c>
      <c r="V25" s="127">
        <f t="shared" si="0"/>
        <v>2020</v>
      </c>
      <c r="W25" s="126" t="s">
        <v>226</v>
      </c>
    </row>
    <row r="26" spans="1:23" x14ac:dyDescent="0.35">
      <c r="A26" s="10"/>
      <c r="B26" s="119">
        <v>19</v>
      </c>
      <c r="C26" s="128" t="s">
        <v>34</v>
      </c>
      <c r="D26" s="119" t="s">
        <v>8</v>
      </c>
      <c r="E26" s="129">
        <v>44084</v>
      </c>
      <c r="F26" s="130" t="s">
        <v>56</v>
      </c>
      <c r="G26" s="128" t="s">
        <v>31</v>
      </c>
      <c r="H26" s="119" t="s">
        <v>7</v>
      </c>
      <c r="I26" s="119" t="s">
        <v>45</v>
      </c>
      <c r="J26" s="127"/>
      <c r="K26" s="127"/>
      <c r="L26" s="119" t="s">
        <v>21</v>
      </c>
      <c r="M26" s="119" t="s">
        <v>15</v>
      </c>
      <c r="N26" s="127" t="str">
        <f ca="1">DATEDIF($E26,TODAY(),"y")&amp;" Years "&amp;DATEDIF($E26,TODAY(),"ym")&amp;" Month "&amp;DATEDIF($E26,TODAY(),"md")&amp;" Days "</f>
        <v xml:space="preserve">2 Years 8 Month 27 Days </v>
      </c>
      <c r="O26" s="229" t="str">
        <f t="shared" si="1"/>
        <v>torsdag</v>
      </c>
      <c r="P26" s="119"/>
      <c r="Q26" s="119"/>
      <c r="R26" s="119"/>
      <c r="S26" s="119"/>
      <c r="T26" s="119">
        <v>19</v>
      </c>
      <c r="U26" s="119">
        <f t="shared" si="2"/>
        <v>2020</v>
      </c>
      <c r="V26" s="127" t="str">
        <f t="shared" si="0"/>
        <v/>
      </c>
      <c r="W26" s="126" t="s">
        <v>226</v>
      </c>
    </row>
    <row r="27" spans="1:23" x14ac:dyDescent="0.35">
      <c r="A27" s="10"/>
      <c r="B27" s="119">
        <v>20</v>
      </c>
      <c r="C27" s="128" t="s">
        <v>57</v>
      </c>
      <c r="D27" s="119" t="s">
        <v>6</v>
      </c>
      <c r="E27" s="129">
        <v>44108</v>
      </c>
      <c r="F27" s="130" t="s">
        <v>75</v>
      </c>
      <c r="G27" s="119" t="s">
        <v>22</v>
      </c>
      <c r="H27" s="119" t="s">
        <v>22</v>
      </c>
      <c r="I27" s="119" t="s">
        <v>4</v>
      </c>
      <c r="J27" s="127"/>
      <c r="K27" s="127"/>
      <c r="L27" s="119" t="s">
        <v>21</v>
      </c>
      <c r="M27" s="131">
        <v>3600</v>
      </c>
      <c r="N27" s="127" t="str">
        <f ca="1">DATEDIF($E27,TODAY(),"y")&amp;" Years "&amp;DATEDIF($E27,TODAY(),"ym")&amp;" Month "&amp;DATEDIF($E27,TODAY(),"md")&amp;" Days "</f>
        <v xml:space="preserve">2 Years 8 Month 2 Days </v>
      </c>
      <c r="O27" s="229" t="str">
        <f t="shared" si="1"/>
        <v>søndag</v>
      </c>
      <c r="P27" s="119"/>
      <c r="Q27" s="119"/>
      <c r="R27" s="119"/>
      <c r="S27" s="119"/>
      <c r="T27" s="119">
        <v>20</v>
      </c>
      <c r="U27" s="119">
        <f t="shared" si="2"/>
        <v>2020</v>
      </c>
      <c r="V27" s="127" t="str">
        <f t="shared" si="0"/>
        <v/>
      </c>
      <c r="W27" s="126" t="s">
        <v>227</v>
      </c>
    </row>
    <row r="28" spans="1:23" x14ac:dyDescent="0.35">
      <c r="A28" s="10"/>
      <c r="B28" s="132">
        <v>21</v>
      </c>
      <c r="C28" s="133" t="s">
        <v>58</v>
      </c>
      <c r="D28" s="132" t="s">
        <v>6</v>
      </c>
      <c r="E28" s="134">
        <v>44108</v>
      </c>
      <c r="F28" s="135" t="s">
        <v>75</v>
      </c>
      <c r="G28" s="132" t="s">
        <v>22</v>
      </c>
      <c r="H28" s="132" t="s">
        <v>22</v>
      </c>
      <c r="I28" s="132" t="s">
        <v>4</v>
      </c>
      <c r="J28" s="134">
        <v>44377</v>
      </c>
      <c r="K28" s="132" t="s">
        <v>27</v>
      </c>
      <c r="L28" s="132" t="s">
        <v>35</v>
      </c>
      <c r="M28" s="136">
        <v>3600</v>
      </c>
      <c r="N28" s="132" t="str">
        <f>DATEDIF($E28,$J28,"y")&amp;" Years "&amp;DATEDIF($E28,$J28,"ym")&amp;" Month "&amp;DATEDIF($E28,$J28,"md")&amp;" Days "</f>
        <v xml:space="preserve">0 Years 8 Month 26 Days </v>
      </c>
      <c r="O28" s="230" t="str">
        <f t="shared" si="1"/>
        <v>søndag</v>
      </c>
      <c r="P28" s="132"/>
      <c r="Q28" s="132"/>
      <c r="R28" s="132"/>
      <c r="S28" s="132"/>
      <c r="T28" s="132">
        <v>21</v>
      </c>
      <c r="U28" s="119">
        <f t="shared" si="2"/>
        <v>2020</v>
      </c>
      <c r="V28" s="127">
        <f t="shared" si="0"/>
        <v>2021</v>
      </c>
      <c r="W28" s="126" t="s">
        <v>227</v>
      </c>
    </row>
    <row r="29" spans="1:23" x14ac:dyDescent="0.35">
      <c r="A29" s="10"/>
      <c r="B29" s="119">
        <v>22</v>
      </c>
      <c r="C29" s="128" t="s">
        <v>61</v>
      </c>
      <c r="D29" s="119" t="s">
        <v>6</v>
      </c>
      <c r="E29" s="129">
        <v>44108</v>
      </c>
      <c r="F29" s="130" t="s">
        <v>75</v>
      </c>
      <c r="G29" s="119" t="s">
        <v>22</v>
      </c>
      <c r="H29" s="119" t="s">
        <v>22</v>
      </c>
      <c r="I29" s="119" t="s">
        <v>4</v>
      </c>
      <c r="J29" s="127"/>
      <c r="K29" s="127"/>
      <c r="L29" s="119" t="s">
        <v>21</v>
      </c>
      <c r="M29" s="131">
        <v>3600</v>
      </c>
      <c r="N29" s="127" t="str">
        <f ca="1">DATEDIF($E29,TODAY(),"y")&amp;" Years "&amp;DATEDIF($E29,TODAY(),"ym")&amp;" Month "&amp;DATEDIF($E29,TODAY(),"md")&amp;" Days "</f>
        <v xml:space="preserve">2 Years 8 Month 2 Days </v>
      </c>
      <c r="O29" s="229" t="str">
        <f t="shared" si="1"/>
        <v>søndag</v>
      </c>
      <c r="P29" s="119"/>
      <c r="Q29" s="119"/>
      <c r="R29" s="119"/>
      <c r="S29" s="119"/>
      <c r="T29" s="119">
        <v>22</v>
      </c>
      <c r="U29" s="119">
        <f t="shared" si="2"/>
        <v>2020</v>
      </c>
      <c r="V29" s="127" t="str">
        <f t="shared" si="0"/>
        <v/>
      </c>
      <c r="W29" s="126" t="s">
        <v>227</v>
      </c>
    </row>
    <row r="30" spans="1:23" x14ac:dyDescent="0.35">
      <c r="A30" s="10"/>
      <c r="B30" s="119">
        <v>23</v>
      </c>
      <c r="C30" s="119" t="s">
        <v>60</v>
      </c>
      <c r="D30" s="119" t="s">
        <v>6</v>
      </c>
      <c r="E30" s="129">
        <v>44108</v>
      </c>
      <c r="F30" s="130" t="s">
        <v>75</v>
      </c>
      <c r="G30" s="119" t="s">
        <v>22</v>
      </c>
      <c r="H30" s="119" t="s">
        <v>22</v>
      </c>
      <c r="I30" s="119" t="s">
        <v>4</v>
      </c>
      <c r="J30" s="127"/>
      <c r="K30" s="127"/>
      <c r="L30" s="119" t="s">
        <v>21</v>
      </c>
      <c r="M30" s="131">
        <v>3600</v>
      </c>
      <c r="N30" s="127" t="str">
        <f ca="1">DATEDIF($E30,TODAY(),"y")&amp;" Years "&amp;DATEDIF($E30,TODAY(),"ym")&amp;" Month "&amp;DATEDIF($E30,TODAY(),"md")&amp;" Days "</f>
        <v xml:space="preserve">2 Years 8 Month 2 Days </v>
      </c>
      <c r="O30" s="229" t="str">
        <f t="shared" si="1"/>
        <v>søndag</v>
      </c>
      <c r="P30" s="119"/>
      <c r="Q30" s="119"/>
      <c r="R30" s="119"/>
      <c r="S30" s="119"/>
      <c r="T30" s="119">
        <v>23</v>
      </c>
      <c r="U30" s="119">
        <f t="shared" si="2"/>
        <v>2020</v>
      </c>
      <c r="V30" s="127" t="str">
        <f t="shared" si="0"/>
        <v/>
      </c>
      <c r="W30" s="126" t="s">
        <v>227</v>
      </c>
    </row>
    <row r="31" spans="1:23" x14ac:dyDescent="0.35">
      <c r="A31" s="10"/>
      <c r="B31" s="132">
        <v>24</v>
      </c>
      <c r="C31" s="133" t="s">
        <v>59</v>
      </c>
      <c r="D31" s="132" t="s">
        <v>6</v>
      </c>
      <c r="E31" s="134">
        <v>44108</v>
      </c>
      <c r="F31" s="135" t="s">
        <v>75</v>
      </c>
      <c r="G31" s="132" t="s">
        <v>22</v>
      </c>
      <c r="H31" s="132" t="s">
        <v>22</v>
      </c>
      <c r="I31" s="132" t="s">
        <v>4</v>
      </c>
      <c r="J31" s="134">
        <v>44375</v>
      </c>
      <c r="K31" s="132" t="s">
        <v>27</v>
      </c>
      <c r="L31" s="132" t="s">
        <v>35</v>
      </c>
      <c r="M31" s="136">
        <v>3600</v>
      </c>
      <c r="N31" s="132" t="str">
        <f>DATEDIF($E31,$J31,"y")&amp;" Years "&amp;DATEDIF($E31,$J31,"ym")&amp;" Month "&amp;DATEDIF($E31,$J31,"md")&amp;" Days "</f>
        <v xml:space="preserve">0 Years 8 Month 24 Days </v>
      </c>
      <c r="O31" s="230" t="str">
        <f t="shared" si="1"/>
        <v>søndag</v>
      </c>
      <c r="P31" s="132"/>
      <c r="Q31" s="132"/>
      <c r="R31" s="132"/>
      <c r="S31" s="132"/>
      <c r="T31" s="132">
        <v>24</v>
      </c>
      <c r="U31" s="119">
        <f t="shared" si="2"/>
        <v>2020</v>
      </c>
      <c r="V31" s="127">
        <f t="shared" si="0"/>
        <v>2021</v>
      </c>
      <c r="W31" s="126" t="s">
        <v>227</v>
      </c>
    </row>
    <row r="32" spans="1:23" x14ac:dyDescent="0.35">
      <c r="A32" s="10"/>
      <c r="B32" s="132">
        <v>25</v>
      </c>
      <c r="C32" s="133" t="s">
        <v>71</v>
      </c>
      <c r="D32" s="132" t="s">
        <v>8</v>
      </c>
      <c r="E32" s="134">
        <v>44121</v>
      </c>
      <c r="F32" s="135" t="s">
        <v>56</v>
      </c>
      <c r="G32" s="133" t="s">
        <v>20</v>
      </c>
      <c r="H32" s="132" t="s">
        <v>7</v>
      </c>
      <c r="I32" s="132" t="s">
        <v>45</v>
      </c>
      <c r="J32" s="134">
        <v>44121</v>
      </c>
      <c r="K32" s="132" t="s">
        <v>72</v>
      </c>
      <c r="L32" s="132" t="s">
        <v>35</v>
      </c>
      <c r="M32" s="143" t="s">
        <v>15</v>
      </c>
      <c r="N32" s="132" t="str">
        <f>DATEDIF($E32,$J32,"y")&amp;" Years "&amp;DATEDIF($E32,$J32,"ym")&amp;" Month "&amp;DATEDIF($E32,$J32,"md")&amp;" Days "</f>
        <v xml:space="preserve">0 Years 0 Month 0 Days </v>
      </c>
      <c r="O32" s="230" t="str">
        <f t="shared" si="1"/>
        <v>lørdag</v>
      </c>
      <c r="P32" s="132"/>
      <c r="Q32" s="132"/>
      <c r="R32" s="132"/>
      <c r="S32" s="132"/>
      <c r="T32" s="132">
        <v>25</v>
      </c>
      <c r="U32" s="119">
        <f t="shared" si="2"/>
        <v>2020</v>
      </c>
      <c r="V32" s="127">
        <f t="shared" si="0"/>
        <v>2020</v>
      </c>
      <c r="W32" s="126" t="s">
        <v>227</v>
      </c>
    </row>
    <row r="33" spans="1:23" x14ac:dyDescent="0.35">
      <c r="A33" s="10"/>
      <c r="B33" s="132">
        <v>26</v>
      </c>
      <c r="C33" s="133" t="s">
        <v>83</v>
      </c>
      <c r="D33" s="132" t="s">
        <v>6</v>
      </c>
      <c r="E33" s="134">
        <v>44128</v>
      </c>
      <c r="F33" s="135" t="s">
        <v>56</v>
      </c>
      <c r="G33" s="132" t="s">
        <v>26</v>
      </c>
      <c r="H33" s="132" t="s">
        <v>7</v>
      </c>
      <c r="I33" s="132" t="s">
        <v>48</v>
      </c>
      <c r="J33" s="134">
        <v>44366</v>
      </c>
      <c r="K33" s="132" t="s">
        <v>27</v>
      </c>
      <c r="L33" s="132" t="s">
        <v>35</v>
      </c>
      <c r="M33" s="132" t="s">
        <v>15</v>
      </c>
      <c r="N33" s="132" t="str">
        <f>DATEDIF($E33,$J33,"y")&amp;" Years "&amp;DATEDIF($E33,$J33,"ym")&amp;" Month "&amp;DATEDIF($E33,$J33,"md")&amp;" Days "</f>
        <v xml:space="preserve">0 Years 7 Month 26 Days </v>
      </c>
      <c r="O33" s="230" t="str">
        <f t="shared" si="1"/>
        <v>lørdag</v>
      </c>
      <c r="P33" s="132" t="s">
        <v>100</v>
      </c>
      <c r="Q33" s="132" t="s">
        <v>44</v>
      </c>
      <c r="R33" s="132"/>
      <c r="S33" s="132"/>
      <c r="T33" s="132">
        <v>26</v>
      </c>
      <c r="U33" s="119">
        <f t="shared" si="2"/>
        <v>2020</v>
      </c>
      <c r="V33" s="127">
        <f t="shared" si="0"/>
        <v>2021</v>
      </c>
      <c r="W33" s="126" t="s">
        <v>227</v>
      </c>
    </row>
    <row r="34" spans="1:23" x14ac:dyDescent="0.35">
      <c r="A34" s="10"/>
      <c r="B34" s="119">
        <v>27</v>
      </c>
      <c r="C34" s="128" t="s">
        <v>84</v>
      </c>
      <c r="D34" s="119" t="s">
        <v>6</v>
      </c>
      <c r="E34" s="129">
        <v>44128</v>
      </c>
      <c r="F34" s="130" t="s">
        <v>56</v>
      </c>
      <c r="G34" s="119" t="s">
        <v>26</v>
      </c>
      <c r="H34" s="119" t="s">
        <v>7</v>
      </c>
      <c r="I34" s="119" t="s">
        <v>48</v>
      </c>
      <c r="J34" s="127"/>
      <c r="K34" s="127"/>
      <c r="L34" s="119" t="s">
        <v>21</v>
      </c>
      <c r="M34" s="119" t="s">
        <v>15</v>
      </c>
      <c r="N34" s="127" t="str">
        <f ca="1">DATEDIF($E34,TODAY(),"y")&amp;" Years "&amp;DATEDIF($E34,TODAY(),"ym")&amp;" Month "&amp;DATEDIF($E34,TODAY(),"md")&amp;" Days "</f>
        <v xml:space="preserve">2 Years 7 Month 13 Days </v>
      </c>
      <c r="O34" s="229" t="str">
        <f t="shared" si="1"/>
        <v>lørdag</v>
      </c>
      <c r="P34" s="119" t="s">
        <v>100</v>
      </c>
      <c r="Q34" s="119" t="s">
        <v>44</v>
      </c>
      <c r="R34" s="119"/>
      <c r="S34" s="119"/>
      <c r="T34" s="119">
        <v>27</v>
      </c>
      <c r="U34" s="119">
        <f t="shared" si="2"/>
        <v>2020</v>
      </c>
      <c r="V34" s="127" t="str">
        <f t="shared" si="0"/>
        <v/>
      </c>
      <c r="W34" s="126" t="s">
        <v>227</v>
      </c>
    </row>
    <row r="35" spans="1:23" ht="16" thickBot="1" x14ac:dyDescent="0.4">
      <c r="A35" s="10"/>
      <c r="B35" s="137">
        <v>28</v>
      </c>
      <c r="C35" s="138" t="s">
        <v>102</v>
      </c>
      <c r="D35" s="137" t="s">
        <v>8</v>
      </c>
      <c r="E35" s="139">
        <v>44179</v>
      </c>
      <c r="F35" s="140" t="s">
        <v>56</v>
      </c>
      <c r="G35" s="137" t="s">
        <v>13</v>
      </c>
      <c r="H35" s="137" t="s">
        <v>7</v>
      </c>
      <c r="I35" s="137" t="s">
        <v>49</v>
      </c>
      <c r="J35" s="139">
        <v>44355</v>
      </c>
      <c r="K35" s="137" t="s">
        <v>27</v>
      </c>
      <c r="L35" s="137" t="s">
        <v>35</v>
      </c>
      <c r="M35" s="137" t="s">
        <v>15</v>
      </c>
      <c r="N35" s="137" t="str">
        <f t="shared" ref="N35:N40" si="4">DATEDIF($E35,$J35,"y")&amp;" Years "&amp;DATEDIF($E35,$J35,"ym")&amp;" Month "&amp;DATEDIF($E35,$J35,"md")&amp;" Days "</f>
        <v xml:space="preserve">0 Years 5 Month 25 Days </v>
      </c>
      <c r="O35" s="231" t="str">
        <f t="shared" si="1"/>
        <v>mandag</v>
      </c>
      <c r="P35" s="137"/>
      <c r="Q35" s="137"/>
      <c r="R35" s="137"/>
      <c r="S35" s="137"/>
      <c r="T35" s="137">
        <v>28</v>
      </c>
      <c r="U35" s="149">
        <f t="shared" si="2"/>
        <v>2020</v>
      </c>
      <c r="V35" s="147">
        <f t="shared" si="0"/>
        <v>2021</v>
      </c>
      <c r="W35" s="142" t="s">
        <v>228</v>
      </c>
    </row>
    <row r="36" spans="1:23" x14ac:dyDescent="0.35">
      <c r="A36" s="10"/>
      <c r="B36" s="132">
        <v>29</v>
      </c>
      <c r="C36" s="133" t="s">
        <v>104</v>
      </c>
      <c r="D36" s="132" t="s">
        <v>8</v>
      </c>
      <c r="E36" s="134">
        <v>44222</v>
      </c>
      <c r="F36" s="135" t="s">
        <v>56</v>
      </c>
      <c r="G36" s="132" t="s">
        <v>9</v>
      </c>
      <c r="H36" s="132" t="s">
        <v>7</v>
      </c>
      <c r="I36" s="132" t="s">
        <v>49</v>
      </c>
      <c r="J36" s="134">
        <v>44381</v>
      </c>
      <c r="K36" s="132" t="s">
        <v>27</v>
      </c>
      <c r="L36" s="132" t="s">
        <v>35</v>
      </c>
      <c r="M36" s="132" t="s">
        <v>15</v>
      </c>
      <c r="N36" s="132" t="str">
        <f t="shared" si="4"/>
        <v xml:space="preserve">0 Years 5 Month 8 Days </v>
      </c>
      <c r="O36" s="230" t="str">
        <f t="shared" si="1"/>
        <v>tirsdag</v>
      </c>
      <c r="P36" s="132"/>
      <c r="Q36" s="132"/>
      <c r="R36" s="132"/>
      <c r="S36" s="132"/>
      <c r="T36" s="132">
        <v>29</v>
      </c>
      <c r="U36" s="119">
        <f t="shared" si="2"/>
        <v>2021</v>
      </c>
      <c r="V36" s="127">
        <f t="shared" si="0"/>
        <v>2021</v>
      </c>
      <c r="W36" s="126" t="s">
        <v>214</v>
      </c>
    </row>
    <row r="37" spans="1:23" x14ac:dyDescent="0.35">
      <c r="A37" s="10"/>
      <c r="B37" s="121">
        <v>30</v>
      </c>
      <c r="C37" s="122" t="s">
        <v>106</v>
      </c>
      <c r="D37" s="121" t="s">
        <v>8</v>
      </c>
      <c r="E37" s="123">
        <v>44260</v>
      </c>
      <c r="F37" s="124" t="s">
        <v>56</v>
      </c>
      <c r="G37" s="121" t="s">
        <v>103</v>
      </c>
      <c r="H37" s="121" t="s">
        <v>7</v>
      </c>
      <c r="I37" s="121" t="s">
        <v>49</v>
      </c>
      <c r="J37" s="123">
        <v>44711</v>
      </c>
      <c r="K37" s="121"/>
      <c r="L37" s="122" t="s">
        <v>133</v>
      </c>
      <c r="M37" s="121" t="s">
        <v>15</v>
      </c>
      <c r="N37" s="121" t="str">
        <f t="shared" si="4"/>
        <v xml:space="preserve">1 Years 2 Month 25 Days </v>
      </c>
      <c r="O37" s="228" t="str">
        <f t="shared" si="1"/>
        <v>fredag</v>
      </c>
      <c r="P37" s="121"/>
      <c r="Q37" s="121"/>
      <c r="R37" s="163">
        <v>2340</v>
      </c>
      <c r="S37" s="121">
        <v>26</v>
      </c>
      <c r="T37" s="121">
        <v>30</v>
      </c>
      <c r="U37" s="119">
        <f t="shared" si="2"/>
        <v>2021</v>
      </c>
      <c r="V37" s="127">
        <f t="shared" si="0"/>
        <v>2022</v>
      </c>
      <c r="W37" s="126" t="s">
        <v>215</v>
      </c>
    </row>
    <row r="38" spans="1:23" x14ac:dyDescent="0.35">
      <c r="A38" s="10"/>
      <c r="B38" s="132">
        <v>31</v>
      </c>
      <c r="C38" s="133" t="s">
        <v>107</v>
      </c>
      <c r="D38" s="132" t="s">
        <v>8</v>
      </c>
      <c r="E38" s="134">
        <v>44264</v>
      </c>
      <c r="F38" s="135" t="s">
        <v>56</v>
      </c>
      <c r="G38" s="132" t="s">
        <v>61</v>
      </c>
      <c r="H38" s="132" t="s">
        <v>7</v>
      </c>
      <c r="I38" s="132" t="s">
        <v>49</v>
      </c>
      <c r="J38" s="134">
        <v>44338</v>
      </c>
      <c r="K38" s="132" t="s">
        <v>116</v>
      </c>
      <c r="L38" s="132" t="s">
        <v>35</v>
      </c>
      <c r="M38" s="132" t="s">
        <v>15</v>
      </c>
      <c r="N38" s="132" t="str">
        <f t="shared" si="4"/>
        <v xml:space="preserve">0 Years 2 Month 13 Days </v>
      </c>
      <c r="O38" s="230" t="str">
        <f t="shared" si="1"/>
        <v>tirsdag</v>
      </c>
      <c r="P38" s="132"/>
      <c r="Q38" s="132"/>
      <c r="R38" s="132"/>
      <c r="S38" s="132"/>
      <c r="T38" s="132">
        <v>31</v>
      </c>
      <c r="U38" s="119">
        <f t="shared" si="2"/>
        <v>2021</v>
      </c>
      <c r="V38" s="127">
        <f t="shared" si="0"/>
        <v>2021</v>
      </c>
      <c r="W38" s="126" t="s">
        <v>215</v>
      </c>
    </row>
    <row r="39" spans="1:23" x14ac:dyDescent="0.35">
      <c r="A39" s="10"/>
      <c r="B39" s="121">
        <v>32</v>
      </c>
      <c r="C39" s="122" t="s">
        <v>108</v>
      </c>
      <c r="D39" s="121" t="s">
        <v>8</v>
      </c>
      <c r="E39" s="123">
        <v>44268</v>
      </c>
      <c r="F39" s="124" t="s">
        <v>56</v>
      </c>
      <c r="G39" s="121" t="s">
        <v>60</v>
      </c>
      <c r="H39" s="121" t="s">
        <v>7</v>
      </c>
      <c r="I39" s="121" t="s">
        <v>49</v>
      </c>
      <c r="J39" s="123">
        <v>44711</v>
      </c>
      <c r="K39" s="121"/>
      <c r="L39" s="122" t="s">
        <v>133</v>
      </c>
      <c r="M39" s="121" t="s">
        <v>15</v>
      </c>
      <c r="N39" s="121" t="str">
        <f t="shared" si="4"/>
        <v xml:space="preserve">1 Years 2 Month 17 Days </v>
      </c>
      <c r="O39" s="228" t="str">
        <f t="shared" si="1"/>
        <v>lørdag</v>
      </c>
      <c r="P39" s="121"/>
      <c r="Q39" s="121"/>
      <c r="R39" s="163">
        <v>3060</v>
      </c>
      <c r="S39" s="121">
        <v>34</v>
      </c>
      <c r="T39" s="121">
        <v>32</v>
      </c>
      <c r="U39" s="119">
        <f t="shared" si="2"/>
        <v>2021</v>
      </c>
      <c r="V39" s="127">
        <f t="shared" si="0"/>
        <v>2022</v>
      </c>
      <c r="W39" s="126" t="s">
        <v>215</v>
      </c>
    </row>
    <row r="40" spans="1:23" x14ac:dyDescent="0.35">
      <c r="A40" s="10"/>
      <c r="B40" s="132">
        <v>33</v>
      </c>
      <c r="C40" s="133" t="s">
        <v>109</v>
      </c>
      <c r="D40" s="132" t="s">
        <v>8</v>
      </c>
      <c r="E40" s="134">
        <v>44283</v>
      </c>
      <c r="F40" s="135" t="s">
        <v>56</v>
      </c>
      <c r="G40" s="132" t="s">
        <v>59</v>
      </c>
      <c r="H40" s="132" t="s">
        <v>7</v>
      </c>
      <c r="I40" s="132" t="s">
        <v>49</v>
      </c>
      <c r="J40" s="134">
        <v>44350</v>
      </c>
      <c r="K40" s="132" t="s">
        <v>27</v>
      </c>
      <c r="L40" s="132" t="s">
        <v>35</v>
      </c>
      <c r="M40" s="132" t="s">
        <v>15</v>
      </c>
      <c r="N40" s="132" t="str">
        <f t="shared" si="4"/>
        <v xml:space="preserve">0 Years 2 Month 6 Days </v>
      </c>
      <c r="O40" s="230" t="str">
        <f t="shared" si="1"/>
        <v>søndag</v>
      </c>
      <c r="P40" s="132"/>
      <c r="Q40" s="132"/>
      <c r="R40" s="132"/>
      <c r="S40" s="132"/>
      <c r="T40" s="132">
        <v>33</v>
      </c>
      <c r="U40" s="119">
        <f t="shared" si="2"/>
        <v>2021</v>
      </c>
      <c r="V40" s="127">
        <f t="shared" si="0"/>
        <v>2021</v>
      </c>
      <c r="W40" s="126" t="s">
        <v>215</v>
      </c>
    </row>
    <row r="41" spans="1:23" x14ac:dyDescent="0.35">
      <c r="A41" s="10"/>
      <c r="B41" s="119">
        <v>34</v>
      </c>
      <c r="C41" s="128" t="s">
        <v>118</v>
      </c>
      <c r="D41" s="119" t="s">
        <v>8</v>
      </c>
      <c r="E41" s="129">
        <v>44321</v>
      </c>
      <c r="F41" s="130" t="s">
        <v>56</v>
      </c>
      <c r="G41" s="119" t="s">
        <v>30</v>
      </c>
      <c r="H41" s="119" t="s">
        <v>7</v>
      </c>
      <c r="I41" s="119" t="s">
        <v>45</v>
      </c>
      <c r="J41" s="127"/>
      <c r="K41" s="127"/>
      <c r="L41" s="119" t="s">
        <v>21</v>
      </c>
      <c r="M41" s="119" t="s">
        <v>15</v>
      </c>
      <c r="N41" s="127" t="str">
        <f ca="1">DATEDIF($E41,TODAY(),"y")&amp;" Years "&amp;DATEDIF($E41,TODAY(),"ym")&amp;" Month "&amp;DATEDIF($E41,TODAY(),"md")&amp;" Days "</f>
        <v xml:space="preserve">2 Years 1 Month 1 Days </v>
      </c>
      <c r="O41" s="229" t="str">
        <f t="shared" si="1"/>
        <v>onsdag</v>
      </c>
      <c r="P41" s="119"/>
      <c r="Q41" s="119"/>
      <c r="R41" s="119"/>
      <c r="S41" s="119"/>
      <c r="T41" s="119">
        <v>34</v>
      </c>
      <c r="U41" s="119">
        <f t="shared" si="2"/>
        <v>2021</v>
      </c>
      <c r="V41" s="127" t="str">
        <f t="shared" si="0"/>
        <v/>
      </c>
      <c r="W41" s="126" t="s">
        <v>216</v>
      </c>
    </row>
    <row r="42" spans="1:23" x14ac:dyDescent="0.35">
      <c r="A42" s="10"/>
      <c r="B42" s="132">
        <v>35</v>
      </c>
      <c r="C42" s="132" t="s">
        <v>111</v>
      </c>
      <c r="D42" s="132" t="s">
        <v>6</v>
      </c>
      <c r="E42" s="134">
        <v>44325</v>
      </c>
      <c r="F42" s="132" t="s">
        <v>75</v>
      </c>
      <c r="G42" s="132" t="s">
        <v>22</v>
      </c>
      <c r="H42" s="132" t="s">
        <v>22</v>
      </c>
      <c r="I42" s="132" t="s">
        <v>4</v>
      </c>
      <c r="J42" s="134">
        <v>44359</v>
      </c>
      <c r="K42" s="132" t="s">
        <v>27</v>
      </c>
      <c r="L42" s="132" t="s">
        <v>35</v>
      </c>
      <c r="M42" s="205">
        <v>3000</v>
      </c>
      <c r="N42" s="132" t="str">
        <f>DATEDIF($E42,$J42,"y")&amp;" Years "&amp;DATEDIF($E42,$J42,"ym")&amp;" Month "&amp;DATEDIF($E42,$J42,"md")&amp;" Days "</f>
        <v xml:space="preserve">0 Years 1 Month 3 Days </v>
      </c>
      <c r="O42" s="230" t="str">
        <f t="shared" si="1"/>
        <v>søndag</v>
      </c>
      <c r="P42" s="132"/>
      <c r="Q42" s="132"/>
      <c r="R42" s="132"/>
      <c r="S42" s="132"/>
      <c r="T42" s="132">
        <v>35</v>
      </c>
      <c r="U42" s="119">
        <f t="shared" si="2"/>
        <v>2021</v>
      </c>
      <c r="V42" s="127">
        <f t="shared" si="0"/>
        <v>2021</v>
      </c>
      <c r="W42" s="126" t="s">
        <v>216</v>
      </c>
    </row>
    <row r="43" spans="1:23" x14ac:dyDescent="0.35">
      <c r="A43" s="10"/>
      <c r="B43" s="132">
        <v>36</v>
      </c>
      <c r="C43" s="133" t="s">
        <v>110</v>
      </c>
      <c r="D43" s="132" t="s">
        <v>6</v>
      </c>
      <c r="E43" s="134">
        <v>44325</v>
      </c>
      <c r="F43" s="135" t="s">
        <v>75</v>
      </c>
      <c r="G43" s="132" t="s">
        <v>22</v>
      </c>
      <c r="H43" s="132" t="s">
        <v>22</v>
      </c>
      <c r="I43" s="132" t="s">
        <v>4</v>
      </c>
      <c r="J43" s="134">
        <v>44780</v>
      </c>
      <c r="K43" s="132" t="s">
        <v>116</v>
      </c>
      <c r="L43" s="132" t="s">
        <v>35</v>
      </c>
      <c r="M43" s="205">
        <v>3200</v>
      </c>
      <c r="N43" s="132" t="str">
        <f>DATEDIF($E43,$J43,"y")&amp;" Years "&amp;DATEDIF($E43,$J43,"ym")&amp;" Month "&amp;DATEDIF($E43,$J43,"md")&amp;" Days "</f>
        <v xml:space="preserve">1 Years 2 Month 29 Days </v>
      </c>
      <c r="O43" s="230" t="str">
        <f t="shared" si="1"/>
        <v>søndag</v>
      </c>
      <c r="P43" s="132"/>
      <c r="Q43" s="132"/>
      <c r="R43" s="132"/>
      <c r="S43" s="132"/>
      <c r="T43" s="132">
        <v>36</v>
      </c>
      <c r="U43" s="119">
        <f t="shared" si="2"/>
        <v>2021</v>
      </c>
      <c r="V43" s="127">
        <f t="shared" si="0"/>
        <v>2022</v>
      </c>
      <c r="W43" s="126" t="s">
        <v>216</v>
      </c>
    </row>
    <row r="44" spans="1:23" x14ac:dyDescent="0.35">
      <c r="A44" s="10"/>
      <c r="B44" s="119">
        <v>37</v>
      </c>
      <c r="C44" s="128" t="s">
        <v>115</v>
      </c>
      <c r="D44" s="119" t="s">
        <v>6</v>
      </c>
      <c r="E44" s="129">
        <v>44328</v>
      </c>
      <c r="F44" s="130" t="s">
        <v>56</v>
      </c>
      <c r="G44" s="119" t="s">
        <v>23</v>
      </c>
      <c r="H44" s="119" t="s">
        <v>7</v>
      </c>
      <c r="I44" s="119" t="s">
        <v>46</v>
      </c>
      <c r="J44" s="127"/>
      <c r="K44" s="127"/>
      <c r="L44" s="119" t="s">
        <v>21</v>
      </c>
      <c r="M44" s="119" t="s">
        <v>15</v>
      </c>
      <c r="N44" s="127" t="str">
        <f ca="1">DATEDIF($E44,TODAY(),"y")&amp;" Years "&amp;DATEDIF($E44,TODAY(),"ym")&amp;" Month "&amp;DATEDIF($E44,TODAY(),"md")&amp;" Days "</f>
        <v xml:space="preserve">2 Years 0 Month 25 Days </v>
      </c>
      <c r="O44" s="229" t="str">
        <f t="shared" si="1"/>
        <v>onsdag</v>
      </c>
      <c r="P44" s="119"/>
      <c r="Q44" s="119"/>
      <c r="R44" s="119"/>
      <c r="S44" s="119"/>
      <c r="T44" s="119">
        <v>37</v>
      </c>
      <c r="U44" s="119">
        <f t="shared" si="2"/>
        <v>2021</v>
      </c>
      <c r="V44" s="127" t="str">
        <f t="shared" si="0"/>
        <v/>
      </c>
      <c r="W44" s="126" t="s">
        <v>216</v>
      </c>
    </row>
    <row r="45" spans="1:23" x14ac:dyDescent="0.35">
      <c r="A45" s="10"/>
      <c r="B45" s="132">
        <v>38</v>
      </c>
      <c r="C45" s="133" t="s">
        <v>117</v>
      </c>
      <c r="D45" s="132" t="s">
        <v>6</v>
      </c>
      <c r="E45" s="134">
        <v>44358</v>
      </c>
      <c r="F45" s="135" t="s">
        <v>56</v>
      </c>
      <c r="G45" s="132" t="s">
        <v>58</v>
      </c>
      <c r="H45" s="132" t="s">
        <v>7</v>
      </c>
      <c r="I45" s="132" t="s">
        <v>48</v>
      </c>
      <c r="J45" s="134">
        <v>44358</v>
      </c>
      <c r="K45" s="132" t="s">
        <v>72</v>
      </c>
      <c r="L45" s="132" t="s">
        <v>35</v>
      </c>
      <c r="M45" s="132" t="s">
        <v>15</v>
      </c>
      <c r="N45" s="132" t="str">
        <f>DATEDIF($E45,$J45,"y")&amp;" Years "&amp;DATEDIF($E45,$J45,"ym")&amp;" Month "&amp;DATEDIF($E45,$J45,"md")&amp;" Days "</f>
        <v xml:space="preserve">0 Years 0 Month 0 Days </v>
      </c>
      <c r="O45" s="230" t="str">
        <f t="shared" si="1"/>
        <v>fredag</v>
      </c>
      <c r="P45" s="132"/>
      <c r="Q45" s="132"/>
      <c r="R45" s="132"/>
      <c r="S45" s="132"/>
      <c r="T45" s="132">
        <v>38</v>
      </c>
      <c r="U45" s="119">
        <f t="shared" si="2"/>
        <v>2021</v>
      </c>
      <c r="V45" s="127">
        <f t="shared" si="0"/>
        <v>2021</v>
      </c>
      <c r="W45" s="126" t="s">
        <v>217</v>
      </c>
    </row>
    <row r="46" spans="1:23" x14ac:dyDescent="0.35">
      <c r="A46" s="10"/>
      <c r="B46" s="132">
        <v>39</v>
      </c>
      <c r="C46" s="133" t="s">
        <v>119</v>
      </c>
      <c r="D46" s="132" t="s">
        <v>8</v>
      </c>
      <c r="E46" s="134">
        <v>44370</v>
      </c>
      <c r="F46" s="135" t="s">
        <v>56</v>
      </c>
      <c r="G46" s="132" t="s">
        <v>57</v>
      </c>
      <c r="H46" s="132" t="s">
        <v>7</v>
      </c>
      <c r="I46" s="132" t="s">
        <v>49</v>
      </c>
      <c r="J46" s="134">
        <v>44370</v>
      </c>
      <c r="K46" s="132" t="s">
        <v>72</v>
      </c>
      <c r="L46" s="132" t="s">
        <v>35</v>
      </c>
      <c r="M46" s="132" t="s">
        <v>15</v>
      </c>
      <c r="N46" s="132" t="str">
        <f>DATEDIF($E46,$J46,"y")&amp;" Years "&amp;DATEDIF($E46,$J46,"ym")&amp;" Month "&amp;DATEDIF($E46,$J46,"md")&amp;" Days "</f>
        <v xml:space="preserve">0 Years 0 Month 0 Days </v>
      </c>
      <c r="O46" s="230" t="str">
        <f t="shared" si="1"/>
        <v>onsdag</v>
      </c>
      <c r="P46" s="132"/>
      <c r="Q46" s="132"/>
      <c r="R46" s="132"/>
      <c r="S46" s="132"/>
      <c r="T46" s="132">
        <v>39</v>
      </c>
      <c r="U46" s="119">
        <f t="shared" si="2"/>
        <v>2021</v>
      </c>
      <c r="V46" s="127">
        <f t="shared" si="0"/>
        <v>2021</v>
      </c>
      <c r="W46" s="126" t="s">
        <v>217</v>
      </c>
    </row>
    <row r="47" spans="1:23" x14ac:dyDescent="0.35">
      <c r="A47" s="10"/>
      <c r="B47" s="121">
        <v>40</v>
      </c>
      <c r="C47" s="122" t="s">
        <v>120</v>
      </c>
      <c r="D47" s="121" t="s">
        <v>8</v>
      </c>
      <c r="E47" s="123">
        <v>44374</v>
      </c>
      <c r="F47" s="124" t="s">
        <v>56</v>
      </c>
      <c r="G47" s="121" t="s">
        <v>13</v>
      </c>
      <c r="H47" s="121" t="s">
        <v>7</v>
      </c>
      <c r="I47" s="121" t="s">
        <v>49</v>
      </c>
      <c r="J47" s="123">
        <v>44711</v>
      </c>
      <c r="K47" s="121"/>
      <c r="L47" s="122" t="s">
        <v>133</v>
      </c>
      <c r="M47" s="121" t="s">
        <v>15</v>
      </c>
      <c r="N47" s="121" t="str">
        <f>DATEDIF($E47,$J47,"y")&amp;" Years "&amp;DATEDIF($E47,$J47,"ym")&amp;" Month "&amp;DATEDIF($E47,$J47,"md")&amp;" Days "</f>
        <v xml:space="preserve">0 Years 11 Month 3 Days </v>
      </c>
      <c r="O47" s="228" t="str">
        <f t="shared" si="1"/>
        <v>søndag</v>
      </c>
      <c r="P47" s="121"/>
      <c r="Q47" s="121"/>
      <c r="R47" s="163">
        <v>2520</v>
      </c>
      <c r="S47" s="121">
        <v>28</v>
      </c>
      <c r="T47" s="121">
        <v>40</v>
      </c>
      <c r="U47" s="119">
        <f t="shared" si="2"/>
        <v>2021</v>
      </c>
      <c r="V47" s="127">
        <f t="shared" si="0"/>
        <v>2022</v>
      </c>
      <c r="W47" s="126" t="s">
        <v>217</v>
      </c>
    </row>
    <row r="48" spans="1:23" x14ac:dyDescent="0.35">
      <c r="A48" s="10"/>
      <c r="B48" s="132">
        <v>41</v>
      </c>
      <c r="C48" s="133" t="s">
        <v>121</v>
      </c>
      <c r="D48" s="132" t="s">
        <v>8</v>
      </c>
      <c r="E48" s="134">
        <v>44408</v>
      </c>
      <c r="F48" s="135" t="s">
        <v>56</v>
      </c>
      <c r="G48" s="132" t="s">
        <v>60</v>
      </c>
      <c r="H48" s="132" t="s">
        <v>7</v>
      </c>
      <c r="I48" s="132" t="s">
        <v>49</v>
      </c>
      <c r="J48" s="134">
        <v>44408</v>
      </c>
      <c r="K48" s="132" t="s">
        <v>72</v>
      </c>
      <c r="L48" s="132" t="s">
        <v>35</v>
      </c>
      <c r="M48" s="132" t="s">
        <v>15</v>
      </c>
      <c r="N48" s="132" t="str">
        <f>DATEDIF($E48,$J48,"y")&amp;" Years "&amp;DATEDIF($E48,$J48,"ym")&amp;" Month "&amp;DATEDIF($E48,$J48,"md")&amp;" Days "</f>
        <v xml:space="preserve">0 Years 0 Month 0 Days </v>
      </c>
      <c r="O48" s="230" t="str">
        <f t="shared" si="1"/>
        <v>lørdag</v>
      </c>
      <c r="P48" s="132"/>
      <c r="Q48" s="132"/>
      <c r="R48" s="132"/>
      <c r="S48" s="132"/>
      <c r="T48" s="132">
        <v>41</v>
      </c>
      <c r="U48" s="119">
        <f t="shared" si="2"/>
        <v>2021</v>
      </c>
      <c r="V48" s="127">
        <f t="shared" si="0"/>
        <v>2021</v>
      </c>
      <c r="W48" s="126" t="s">
        <v>218</v>
      </c>
    </row>
    <row r="49" spans="1:23" x14ac:dyDescent="0.35">
      <c r="A49" s="10"/>
      <c r="B49" s="119">
        <v>42</v>
      </c>
      <c r="C49" s="128" t="s">
        <v>122</v>
      </c>
      <c r="D49" s="119" t="s">
        <v>6</v>
      </c>
      <c r="E49" s="129">
        <v>44422</v>
      </c>
      <c r="F49" s="130" t="s">
        <v>56</v>
      </c>
      <c r="G49" s="119" t="s">
        <v>24</v>
      </c>
      <c r="H49" s="119" t="s">
        <v>7</v>
      </c>
      <c r="I49" s="119" t="s">
        <v>46</v>
      </c>
      <c r="J49" s="127"/>
      <c r="K49" s="127"/>
      <c r="L49" s="119" t="s">
        <v>21</v>
      </c>
      <c r="M49" s="119" t="s">
        <v>15</v>
      </c>
      <c r="N49" s="127" t="str">
        <f ca="1">DATEDIF($E49,TODAY(),"y")&amp;" Years "&amp;DATEDIF($E49,TODAY(),"ym")&amp;" Month "&amp;DATEDIF($E49,TODAY(),"md")&amp;" Days "</f>
        <v xml:space="preserve">1 Years 9 Month 23 Days </v>
      </c>
      <c r="O49" s="229" t="str">
        <f t="shared" si="1"/>
        <v>lørdag</v>
      </c>
      <c r="P49" s="119"/>
      <c r="Q49" s="119"/>
      <c r="R49" s="119"/>
      <c r="S49" s="119"/>
      <c r="T49" s="119">
        <v>42</v>
      </c>
      <c r="U49" s="119">
        <f t="shared" si="2"/>
        <v>2021</v>
      </c>
      <c r="V49" s="127" t="str">
        <f t="shared" si="0"/>
        <v/>
      </c>
      <c r="W49" s="126" t="s">
        <v>219</v>
      </c>
    </row>
    <row r="50" spans="1:23" ht="16" thickBot="1" x14ac:dyDescent="0.4">
      <c r="A50" s="10"/>
      <c r="B50" s="137">
        <v>43</v>
      </c>
      <c r="C50" s="138" t="s">
        <v>123</v>
      </c>
      <c r="D50" s="137" t="s">
        <v>8</v>
      </c>
      <c r="E50" s="139">
        <v>44539</v>
      </c>
      <c r="F50" s="140" t="s">
        <v>56</v>
      </c>
      <c r="G50" s="138" t="s">
        <v>110</v>
      </c>
      <c r="H50" s="137" t="s">
        <v>7</v>
      </c>
      <c r="I50" s="137" t="s">
        <v>49</v>
      </c>
      <c r="J50" s="139">
        <v>44539</v>
      </c>
      <c r="K50" s="137" t="s">
        <v>72</v>
      </c>
      <c r="L50" s="137" t="s">
        <v>35</v>
      </c>
      <c r="M50" s="137" t="s">
        <v>15</v>
      </c>
      <c r="N50" s="137" t="str">
        <f>DATEDIF($E50,$J50,"y")&amp;" Years "&amp;DATEDIF($E50,$J50,"ym")&amp;" Month "&amp;DATEDIF($E50,$J50,"md")&amp;" Days "</f>
        <v xml:space="preserve">0 Years 0 Month 0 Days </v>
      </c>
      <c r="O50" s="231" t="str">
        <f t="shared" si="1"/>
        <v>torsdag</v>
      </c>
      <c r="P50" s="137"/>
      <c r="Q50" s="137"/>
      <c r="R50" s="137"/>
      <c r="S50" s="137"/>
      <c r="T50" s="137">
        <v>43</v>
      </c>
      <c r="U50" s="149">
        <f t="shared" si="2"/>
        <v>2021</v>
      </c>
      <c r="V50" s="147">
        <f t="shared" si="0"/>
        <v>2021</v>
      </c>
      <c r="W50" s="142" t="s">
        <v>220</v>
      </c>
    </row>
    <row r="51" spans="1:23" x14ac:dyDescent="0.35">
      <c r="A51" s="10"/>
      <c r="B51" s="119">
        <v>44</v>
      </c>
      <c r="C51" s="128" t="s">
        <v>126</v>
      </c>
      <c r="D51" s="119" t="s">
        <v>6</v>
      </c>
      <c r="E51" s="129">
        <v>44572</v>
      </c>
      <c r="F51" s="130" t="s">
        <v>56</v>
      </c>
      <c r="G51" s="119" t="s">
        <v>84</v>
      </c>
      <c r="H51" s="119" t="s">
        <v>7</v>
      </c>
      <c r="I51" s="119" t="s">
        <v>46</v>
      </c>
      <c r="J51" s="127"/>
      <c r="K51" s="127"/>
      <c r="L51" s="119" t="s">
        <v>21</v>
      </c>
      <c r="M51" s="119" t="s">
        <v>15</v>
      </c>
      <c r="N51" s="127" t="str">
        <f ca="1">DATEDIF($E51,TODAY(),"y")&amp;" Years "&amp;DATEDIF($E51,TODAY(),"ym")&amp;" Month "&amp;DATEDIF($E51,TODAY(),"md")&amp;" Days "</f>
        <v xml:space="preserve">1 Years 4 Month 26 Days </v>
      </c>
      <c r="O51" s="229" t="str">
        <f t="shared" si="1"/>
        <v>tirsdag</v>
      </c>
      <c r="P51" s="119"/>
      <c r="Q51" s="119"/>
      <c r="R51" s="119"/>
      <c r="S51" s="119"/>
      <c r="T51" s="119">
        <v>44</v>
      </c>
      <c r="U51" s="119">
        <f t="shared" si="2"/>
        <v>2022</v>
      </c>
      <c r="V51" s="127" t="str">
        <f t="shared" si="0"/>
        <v/>
      </c>
      <c r="W51" s="126" t="s">
        <v>210</v>
      </c>
    </row>
    <row r="52" spans="1:23" x14ac:dyDescent="0.35">
      <c r="A52" s="10"/>
      <c r="B52" s="121">
        <v>45</v>
      </c>
      <c r="C52" s="122" t="s">
        <v>124</v>
      </c>
      <c r="D52" s="121" t="s">
        <v>8</v>
      </c>
      <c r="E52" s="123">
        <v>44574</v>
      </c>
      <c r="F52" s="124" t="s">
        <v>56</v>
      </c>
      <c r="G52" s="121" t="s">
        <v>13</v>
      </c>
      <c r="H52" s="121" t="s">
        <v>7</v>
      </c>
      <c r="I52" s="121" t="s">
        <v>49</v>
      </c>
      <c r="J52" s="123">
        <v>44711</v>
      </c>
      <c r="K52" s="121"/>
      <c r="L52" s="122" t="s">
        <v>133</v>
      </c>
      <c r="M52" s="121" t="s">
        <v>15</v>
      </c>
      <c r="N52" s="121" t="str">
        <f>DATEDIF($E52,$J52,"y")&amp;" Years "&amp;DATEDIF($E52,$J52,"ym")&amp;" Month "&amp;DATEDIF($E52,$J52,"md")&amp;" Days "</f>
        <v xml:space="preserve">0 Years 4 Month 17 Days </v>
      </c>
      <c r="O52" s="228" t="str">
        <f t="shared" si="1"/>
        <v>torsdag</v>
      </c>
      <c r="P52" s="121" t="s">
        <v>99</v>
      </c>
      <c r="Q52" s="121" t="s">
        <v>44</v>
      </c>
      <c r="R52" s="163">
        <v>990</v>
      </c>
      <c r="S52" s="121">
        <v>9</v>
      </c>
      <c r="T52" s="121">
        <v>45</v>
      </c>
      <c r="U52" s="119">
        <f t="shared" si="2"/>
        <v>2022</v>
      </c>
      <c r="V52" s="127">
        <f t="shared" si="0"/>
        <v>2022</v>
      </c>
      <c r="W52" s="126" t="s">
        <v>210</v>
      </c>
    </row>
    <row r="53" spans="1:23" x14ac:dyDescent="0.35">
      <c r="A53" s="10"/>
      <c r="B53" s="121">
        <v>46</v>
      </c>
      <c r="C53" s="122" t="s">
        <v>125</v>
      </c>
      <c r="D53" s="121" t="s">
        <v>8</v>
      </c>
      <c r="E53" s="123">
        <v>44574</v>
      </c>
      <c r="F53" s="124" t="s">
        <v>56</v>
      </c>
      <c r="G53" s="121" t="s">
        <v>13</v>
      </c>
      <c r="H53" s="121" t="s">
        <v>7</v>
      </c>
      <c r="I53" s="121" t="s">
        <v>49</v>
      </c>
      <c r="J53" s="123">
        <v>44711</v>
      </c>
      <c r="K53" s="121"/>
      <c r="L53" s="122" t="s">
        <v>133</v>
      </c>
      <c r="M53" s="121" t="s">
        <v>15</v>
      </c>
      <c r="N53" s="121" t="str">
        <f>DATEDIF($E53,$J53,"y")&amp;" Years "&amp;DATEDIF($E53,$J53,"ym")&amp;" Month "&amp;DATEDIF($E53,$J53,"md")&amp;" Days "</f>
        <v xml:space="preserve">0 Years 4 Month 17 Days </v>
      </c>
      <c r="O53" s="228" t="str">
        <f t="shared" si="1"/>
        <v>torsdag</v>
      </c>
      <c r="P53" s="121" t="s">
        <v>99</v>
      </c>
      <c r="Q53" s="121" t="s">
        <v>44</v>
      </c>
      <c r="R53" s="163">
        <v>880</v>
      </c>
      <c r="S53" s="121">
        <v>8</v>
      </c>
      <c r="T53" s="121">
        <v>46</v>
      </c>
      <c r="U53" s="119">
        <f t="shared" si="2"/>
        <v>2022</v>
      </c>
      <c r="V53" s="127">
        <f t="shared" si="0"/>
        <v>2022</v>
      </c>
      <c r="W53" s="126" t="s">
        <v>210</v>
      </c>
    </row>
    <row r="54" spans="1:23" x14ac:dyDescent="0.35">
      <c r="A54" s="10"/>
      <c r="B54" s="119">
        <v>47</v>
      </c>
      <c r="C54" s="128" t="s">
        <v>127</v>
      </c>
      <c r="D54" s="119" t="s">
        <v>6</v>
      </c>
      <c r="E54" s="129">
        <v>44581</v>
      </c>
      <c r="F54" s="130" t="s">
        <v>56</v>
      </c>
      <c r="G54" s="119" t="s">
        <v>60</v>
      </c>
      <c r="H54" s="119" t="s">
        <v>7</v>
      </c>
      <c r="I54" s="119" t="s">
        <v>48</v>
      </c>
      <c r="J54" s="127"/>
      <c r="K54" s="127"/>
      <c r="L54" s="119" t="s">
        <v>21</v>
      </c>
      <c r="M54" s="119" t="s">
        <v>15</v>
      </c>
      <c r="N54" s="127" t="str">
        <f ca="1">DATEDIF($E54,TODAY(),"y")&amp;" Years "&amp;DATEDIF($E54,TODAY(),"ym")&amp;" Month "&amp;DATEDIF($E54,TODAY(),"md")&amp;" Days "</f>
        <v xml:space="preserve">1 Years 4 Month 17 Days </v>
      </c>
      <c r="O54" s="229" t="str">
        <f t="shared" si="1"/>
        <v>torsdag</v>
      </c>
      <c r="P54" s="119" t="s">
        <v>101</v>
      </c>
      <c r="Q54" s="119" t="s">
        <v>44</v>
      </c>
      <c r="R54" s="119"/>
      <c r="S54" s="119"/>
      <c r="T54" s="119">
        <v>47</v>
      </c>
      <c r="U54" s="119">
        <f t="shared" si="2"/>
        <v>2022</v>
      </c>
      <c r="V54" s="127" t="str">
        <f t="shared" si="0"/>
        <v/>
      </c>
      <c r="W54" s="126" t="s">
        <v>210</v>
      </c>
    </row>
    <row r="55" spans="1:23" x14ac:dyDescent="0.35">
      <c r="A55" s="10"/>
      <c r="B55" s="121">
        <v>48</v>
      </c>
      <c r="C55" s="122" t="s">
        <v>128</v>
      </c>
      <c r="D55" s="121" t="s">
        <v>8</v>
      </c>
      <c r="E55" s="123">
        <v>44581</v>
      </c>
      <c r="F55" s="124" t="s">
        <v>56</v>
      </c>
      <c r="G55" s="121" t="s">
        <v>60</v>
      </c>
      <c r="H55" s="121" t="s">
        <v>7</v>
      </c>
      <c r="I55" s="121" t="s">
        <v>49</v>
      </c>
      <c r="J55" s="123">
        <v>44711</v>
      </c>
      <c r="K55" s="121"/>
      <c r="L55" s="122" t="s">
        <v>133</v>
      </c>
      <c r="M55" s="121" t="s">
        <v>15</v>
      </c>
      <c r="N55" s="121" t="str">
        <f>DATEDIF($E55,$J55,"y")&amp;" Years "&amp;DATEDIF($E55,$J55,"ym")&amp;" Month "&amp;DATEDIF($E55,$J55,"md")&amp;" Days "</f>
        <v xml:space="preserve">0 Years 4 Month 10 Days </v>
      </c>
      <c r="O55" s="228" t="str">
        <f t="shared" si="1"/>
        <v>torsdag</v>
      </c>
      <c r="P55" s="121" t="s">
        <v>101</v>
      </c>
      <c r="Q55" s="121" t="s">
        <v>44</v>
      </c>
      <c r="R55" s="163">
        <v>990</v>
      </c>
      <c r="S55" s="121">
        <v>9</v>
      </c>
      <c r="T55" s="121">
        <v>48</v>
      </c>
      <c r="U55" s="119">
        <f t="shared" si="2"/>
        <v>2022</v>
      </c>
      <c r="V55" s="127">
        <f t="shared" si="0"/>
        <v>2022</v>
      </c>
      <c r="W55" s="126" t="s">
        <v>210</v>
      </c>
    </row>
    <row r="56" spans="1:23" x14ac:dyDescent="0.35">
      <c r="A56" s="10"/>
      <c r="B56" s="119">
        <v>49</v>
      </c>
      <c r="C56" s="128" t="s">
        <v>129</v>
      </c>
      <c r="D56" s="119" t="s">
        <v>6</v>
      </c>
      <c r="E56" s="129">
        <v>44581</v>
      </c>
      <c r="F56" s="130" t="s">
        <v>56</v>
      </c>
      <c r="G56" s="119" t="s">
        <v>103</v>
      </c>
      <c r="H56" s="119" t="s">
        <v>7</v>
      </c>
      <c r="I56" s="119" t="s">
        <v>48</v>
      </c>
      <c r="J56" s="127"/>
      <c r="K56" s="127"/>
      <c r="L56" s="119" t="s">
        <v>21</v>
      </c>
      <c r="M56" s="119" t="s">
        <v>15</v>
      </c>
      <c r="N56" s="127" t="str">
        <f ca="1">DATEDIF($E56,TODAY(),"y")&amp;" Years "&amp;DATEDIF($E56,TODAY(),"ym")&amp;" Month "&amp;DATEDIF($E56,TODAY(),"md")&amp;" Days "</f>
        <v xml:space="preserve">1 Years 4 Month 17 Days </v>
      </c>
      <c r="O56" s="229" t="str">
        <f t="shared" si="1"/>
        <v>torsdag</v>
      </c>
      <c r="P56" s="119" t="s">
        <v>98</v>
      </c>
      <c r="Q56" s="119"/>
      <c r="R56" s="119"/>
      <c r="S56" s="119"/>
      <c r="T56" s="119">
        <v>49</v>
      </c>
      <c r="U56" s="119">
        <f t="shared" si="2"/>
        <v>2022</v>
      </c>
      <c r="V56" s="127" t="str">
        <f t="shared" si="0"/>
        <v/>
      </c>
      <c r="W56" s="126" t="s">
        <v>210</v>
      </c>
    </row>
    <row r="57" spans="1:23" x14ac:dyDescent="0.35">
      <c r="A57" s="10"/>
      <c r="B57" s="119">
        <v>50</v>
      </c>
      <c r="C57" s="128" t="s">
        <v>130</v>
      </c>
      <c r="D57" s="119" t="s">
        <v>6</v>
      </c>
      <c r="E57" s="129">
        <v>44597</v>
      </c>
      <c r="F57" s="130" t="s">
        <v>56</v>
      </c>
      <c r="G57" s="119" t="s">
        <v>57</v>
      </c>
      <c r="H57" s="119" t="s">
        <v>7</v>
      </c>
      <c r="I57" s="119" t="s">
        <v>48</v>
      </c>
      <c r="J57" s="127"/>
      <c r="K57" s="127"/>
      <c r="L57" s="119" t="s">
        <v>21</v>
      </c>
      <c r="M57" s="119" t="s">
        <v>15</v>
      </c>
      <c r="N57" s="127" t="str">
        <f ca="1">DATEDIF($E57,TODAY(),"y")&amp;" Years "&amp;DATEDIF($E57,TODAY(),"ym")&amp;" Month "&amp;DATEDIF($E57,TODAY(),"md")&amp;" Days "</f>
        <v xml:space="preserve">1 Years 4 Month 1 Days </v>
      </c>
      <c r="O57" s="229" t="str">
        <f t="shared" si="1"/>
        <v>lørdag</v>
      </c>
      <c r="P57" s="119"/>
      <c r="Q57" s="119"/>
      <c r="R57" s="119"/>
      <c r="S57" s="119"/>
      <c r="T57" s="119">
        <v>50</v>
      </c>
      <c r="U57" s="119">
        <f t="shared" si="2"/>
        <v>2022</v>
      </c>
      <c r="V57" s="127" t="str">
        <f t="shared" si="0"/>
        <v/>
      </c>
      <c r="W57" s="126" t="s">
        <v>211</v>
      </c>
    </row>
    <row r="58" spans="1:23" x14ac:dyDescent="0.35">
      <c r="A58" s="10"/>
      <c r="B58" s="119">
        <v>51</v>
      </c>
      <c r="C58" s="128" t="s">
        <v>150</v>
      </c>
      <c r="D58" s="119" t="s">
        <v>6</v>
      </c>
      <c r="E58" s="129">
        <v>44613</v>
      </c>
      <c r="F58" s="130" t="s">
        <v>56</v>
      </c>
      <c r="G58" s="119" t="s">
        <v>24</v>
      </c>
      <c r="H58" s="119" t="s">
        <v>7</v>
      </c>
      <c r="I58" s="119" t="s">
        <v>46</v>
      </c>
      <c r="J58" s="127"/>
      <c r="K58" s="127"/>
      <c r="L58" s="119" t="s">
        <v>21</v>
      </c>
      <c r="M58" s="119" t="s">
        <v>15</v>
      </c>
      <c r="N58" s="127" t="str">
        <f ca="1">DATEDIF($E58,TODAY(),"y")&amp;" Years "&amp;DATEDIF($E58,TODAY(),"ym")&amp;" Month "&amp;DATEDIF($E58,TODAY(),"md")&amp;" Days "</f>
        <v xml:space="preserve">1 Years 3 Month 16 Days </v>
      </c>
      <c r="O58" s="229" t="str">
        <f t="shared" si="1"/>
        <v>mandag</v>
      </c>
      <c r="P58" s="119"/>
      <c r="Q58" s="119"/>
      <c r="R58" s="119"/>
      <c r="S58" s="119"/>
      <c r="T58" s="119">
        <v>51</v>
      </c>
      <c r="U58" s="119">
        <f t="shared" si="2"/>
        <v>2022</v>
      </c>
      <c r="V58" s="127" t="str">
        <f t="shared" si="0"/>
        <v/>
      </c>
      <c r="W58" s="126" t="s">
        <v>211</v>
      </c>
    </row>
    <row r="59" spans="1:23" x14ac:dyDescent="0.35">
      <c r="A59" s="10"/>
      <c r="B59" s="119">
        <v>52</v>
      </c>
      <c r="C59" s="128" t="s">
        <v>134</v>
      </c>
      <c r="D59" s="119" t="s">
        <v>6</v>
      </c>
      <c r="E59" s="129">
        <v>44622</v>
      </c>
      <c r="F59" s="130" t="s">
        <v>56</v>
      </c>
      <c r="G59" s="119" t="s">
        <v>61</v>
      </c>
      <c r="H59" s="119" t="s">
        <v>7</v>
      </c>
      <c r="I59" s="119" t="s">
        <v>48</v>
      </c>
      <c r="J59" s="127"/>
      <c r="K59" s="127"/>
      <c r="L59" s="119" t="s">
        <v>21</v>
      </c>
      <c r="M59" s="119" t="s">
        <v>15</v>
      </c>
      <c r="N59" s="127" t="str">
        <f ca="1">DATEDIF($E59,TODAY(),"y")&amp;" Years "&amp;DATEDIF($E59,TODAY(),"ym")&amp;" Month "&amp;DATEDIF($E59,TODAY(),"md")&amp;" Days "</f>
        <v xml:space="preserve">1 Years 3 Month 4 Days </v>
      </c>
      <c r="O59" s="229" t="str">
        <f t="shared" si="1"/>
        <v>onsdag</v>
      </c>
      <c r="P59" s="119"/>
      <c r="Q59" s="119"/>
      <c r="R59" s="119"/>
      <c r="S59" s="119"/>
      <c r="T59" s="119">
        <v>52</v>
      </c>
      <c r="U59" s="119">
        <f t="shared" si="2"/>
        <v>2022</v>
      </c>
      <c r="V59" s="127" t="str">
        <f t="shared" si="0"/>
        <v/>
      </c>
      <c r="W59" s="126" t="s">
        <v>212</v>
      </c>
    </row>
    <row r="60" spans="1:23" x14ac:dyDescent="0.35">
      <c r="A60" s="10"/>
      <c r="B60" s="119">
        <v>53</v>
      </c>
      <c r="C60" s="128" t="s">
        <v>145</v>
      </c>
      <c r="D60" s="119" t="s">
        <v>8</v>
      </c>
      <c r="E60" s="129">
        <v>44708</v>
      </c>
      <c r="F60" s="130" t="s">
        <v>56</v>
      </c>
      <c r="G60" s="119" t="s">
        <v>5</v>
      </c>
      <c r="H60" s="119" t="s">
        <v>7</v>
      </c>
      <c r="I60" s="119" t="s">
        <v>49</v>
      </c>
      <c r="J60" s="127"/>
      <c r="K60" s="127"/>
      <c r="L60" s="119" t="s">
        <v>21</v>
      </c>
      <c r="M60" s="119" t="s">
        <v>15</v>
      </c>
      <c r="N60" s="127" t="str">
        <f ca="1">DATEDIF($E60,TODAY(),"y")&amp;" Years "&amp;DATEDIF($E60,TODAY(),"ym")&amp;" Month "&amp;DATEDIF($E60,TODAY(),"md")&amp;" Days "</f>
        <v xml:space="preserve">1 Years 0 Month 10 Days </v>
      </c>
      <c r="O60" s="229" t="str">
        <f t="shared" si="1"/>
        <v>fredag</v>
      </c>
      <c r="P60" s="127"/>
      <c r="Q60" s="127"/>
      <c r="R60" s="127"/>
      <c r="S60" s="127"/>
      <c r="T60" s="119">
        <v>53</v>
      </c>
      <c r="U60" s="119">
        <f t="shared" si="2"/>
        <v>2022</v>
      </c>
      <c r="V60" s="127" t="str">
        <f t="shared" si="0"/>
        <v/>
      </c>
      <c r="W60" s="126" t="s">
        <v>213</v>
      </c>
    </row>
    <row r="61" spans="1:23" x14ac:dyDescent="0.35">
      <c r="A61" s="10"/>
      <c r="B61" s="132">
        <v>54</v>
      </c>
      <c r="C61" s="133" t="s">
        <v>146</v>
      </c>
      <c r="D61" s="132" t="s">
        <v>6</v>
      </c>
      <c r="E61" s="134">
        <v>44718</v>
      </c>
      <c r="F61" s="135" t="s">
        <v>56</v>
      </c>
      <c r="G61" s="133" t="s">
        <v>122</v>
      </c>
      <c r="H61" s="132" t="s">
        <v>7</v>
      </c>
      <c r="I61" s="132" t="s">
        <v>51</v>
      </c>
      <c r="J61" s="134">
        <v>44718</v>
      </c>
      <c r="K61" s="132" t="s">
        <v>72</v>
      </c>
      <c r="L61" s="132" t="s">
        <v>35</v>
      </c>
      <c r="M61" s="132" t="s">
        <v>15</v>
      </c>
      <c r="N61" s="132" t="str">
        <f>DATEDIF($E61,$J61,"y")&amp;" Years "&amp;DATEDIF($E61,$J61,"ym")&amp;" Month "&amp;DATEDIF($E61,$J61,"md")&amp;" Days "</f>
        <v xml:space="preserve">0 Years 0 Month 0 Days </v>
      </c>
      <c r="O61" s="230" t="str">
        <f t="shared" si="1"/>
        <v>mandag</v>
      </c>
      <c r="P61" s="132"/>
      <c r="Q61" s="132"/>
      <c r="R61" s="132"/>
      <c r="S61" s="132"/>
      <c r="T61" s="132">
        <v>54</v>
      </c>
      <c r="U61" s="119">
        <f t="shared" si="2"/>
        <v>2022</v>
      </c>
      <c r="V61" s="127">
        <f t="shared" si="0"/>
        <v>2022</v>
      </c>
      <c r="W61" s="126" t="s">
        <v>209</v>
      </c>
    </row>
    <row r="62" spans="1:23" x14ac:dyDescent="0.35">
      <c r="A62" s="10"/>
      <c r="B62" s="119">
        <v>55</v>
      </c>
      <c r="C62" s="128" t="s">
        <v>147</v>
      </c>
      <c r="D62" s="119" t="s">
        <v>8</v>
      </c>
      <c r="E62" s="129">
        <v>44727</v>
      </c>
      <c r="F62" s="130" t="s">
        <v>56</v>
      </c>
      <c r="G62" s="128" t="s">
        <v>115</v>
      </c>
      <c r="H62" s="119" t="s">
        <v>7</v>
      </c>
      <c r="I62" s="119" t="s">
        <v>45</v>
      </c>
      <c r="J62" s="145"/>
      <c r="K62" s="127"/>
      <c r="L62" s="119" t="s">
        <v>21</v>
      </c>
      <c r="M62" s="119" t="s">
        <v>15</v>
      </c>
      <c r="N62" s="127" t="str">
        <f ca="1">DATEDIF($E62,TODAY(),"y")&amp;" Years "&amp;DATEDIF($E62,TODAY(),"ym")&amp;" Month "&amp;DATEDIF($E62,TODAY(),"md")&amp;" Days "</f>
        <v xml:space="preserve">0 Years 11 Month 22 Days </v>
      </c>
      <c r="O62" s="229" t="str">
        <f t="shared" si="1"/>
        <v>onsdag</v>
      </c>
      <c r="P62" s="127"/>
      <c r="Q62" s="127"/>
      <c r="R62" s="127"/>
      <c r="S62" s="127"/>
      <c r="T62" s="119">
        <v>55</v>
      </c>
      <c r="U62" s="119">
        <f t="shared" si="2"/>
        <v>2022</v>
      </c>
      <c r="V62" s="127" t="str">
        <f t="shared" si="0"/>
        <v/>
      </c>
      <c r="W62" s="126" t="s">
        <v>209</v>
      </c>
    </row>
    <row r="63" spans="1:23" x14ac:dyDescent="0.35">
      <c r="A63" s="10"/>
      <c r="B63" s="119">
        <v>56</v>
      </c>
      <c r="C63" s="128" t="s">
        <v>149</v>
      </c>
      <c r="D63" s="119" t="s">
        <v>6</v>
      </c>
      <c r="E63" s="129">
        <v>44752</v>
      </c>
      <c r="F63" s="130" t="s">
        <v>56</v>
      </c>
      <c r="G63" s="146" t="s">
        <v>110</v>
      </c>
      <c r="H63" s="119" t="s">
        <v>7</v>
      </c>
      <c r="I63" s="119" t="s">
        <v>48</v>
      </c>
      <c r="J63" s="145"/>
      <c r="K63" s="127"/>
      <c r="L63" s="119" t="s">
        <v>21</v>
      </c>
      <c r="M63" s="119" t="s">
        <v>15</v>
      </c>
      <c r="N63" s="127" t="str">
        <f t="shared" ref="N63:N81" ca="1" si="5">DATEDIF($E63,TODAY(),"y")&amp;" Years "&amp;DATEDIF($E63,TODAY(),"ym")&amp;" Month "&amp;DATEDIF($E63,TODAY(),"md")&amp;" Days "</f>
        <v xml:space="preserve">0 Years 10 Month 27 Days </v>
      </c>
      <c r="O63" s="229" t="str">
        <f t="shared" si="1"/>
        <v>søndag</v>
      </c>
      <c r="P63" s="127"/>
      <c r="Q63" s="127"/>
      <c r="R63" s="127"/>
      <c r="S63" s="127"/>
      <c r="T63" s="119">
        <v>56</v>
      </c>
      <c r="U63" s="119">
        <f t="shared" si="2"/>
        <v>2022</v>
      </c>
      <c r="V63" s="127" t="str">
        <f t="shared" si="0"/>
        <v/>
      </c>
      <c r="W63" s="126" t="s">
        <v>208</v>
      </c>
    </row>
    <row r="64" spans="1:23" x14ac:dyDescent="0.35">
      <c r="A64" s="10"/>
      <c r="B64" s="119">
        <v>57</v>
      </c>
      <c r="C64" s="128" t="s">
        <v>151</v>
      </c>
      <c r="D64" s="119" t="s">
        <v>8</v>
      </c>
      <c r="E64" s="129">
        <v>44846</v>
      </c>
      <c r="F64" s="130" t="s">
        <v>56</v>
      </c>
      <c r="G64" s="119" t="s">
        <v>61</v>
      </c>
      <c r="H64" s="128" t="s">
        <v>34</v>
      </c>
      <c r="I64" s="119" t="s">
        <v>49</v>
      </c>
      <c r="J64" s="145"/>
      <c r="K64" s="127"/>
      <c r="L64" s="119" t="s">
        <v>21</v>
      </c>
      <c r="M64" s="119" t="s">
        <v>15</v>
      </c>
      <c r="N64" s="127" t="str">
        <f t="shared" ca="1" si="5"/>
        <v xml:space="preserve">0 Years 7 Month 25 Days </v>
      </c>
      <c r="O64" s="229" t="str">
        <f t="shared" si="1"/>
        <v>onsdag</v>
      </c>
      <c r="P64" s="127"/>
      <c r="Q64" s="127"/>
      <c r="R64" s="127"/>
      <c r="S64" s="127"/>
      <c r="T64" s="119">
        <v>57</v>
      </c>
      <c r="U64" s="119">
        <f t="shared" si="2"/>
        <v>2022</v>
      </c>
      <c r="V64" s="127" t="str">
        <f t="shared" si="0"/>
        <v/>
      </c>
      <c r="W64" s="126" t="s">
        <v>207</v>
      </c>
    </row>
    <row r="65" spans="1:23" ht="16" thickBot="1" x14ac:dyDescent="0.4">
      <c r="A65" s="10"/>
      <c r="B65" s="149">
        <v>58</v>
      </c>
      <c r="C65" s="148" t="s">
        <v>152</v>
      </c>
      <c r="D65" s="149" t="s">
        <v>8</v>
      </c>
      <c r="E65" s="150">
        <v>44850</v>
      </c>
      <c r="F65" s="151" t="s">
        <v>56</v>
      </c>
      <c r="G65" s="149" t="s">
        <v>24</v>
      </c>
      <c r="H65" s="148" t="s">
        <v>34</v>
      </c>
      <c r="I65" s="149" t="s">
        <v>45</v>
      </c>
      <c r="J65" s="152"/>
      <c r="K65" s="147"/>
      <c r="L65" s="149" t="s">
        <v>21</v>
      </c>
      <c r="M65" s="149" t="s">
        <v>15</v>
      </c>
      <c r="N65" s="147" t="str">
        <f t="shared" ca="1" si="5"/>
        <v xml:space="preserve">0 Years 7 Month 21 Days </v>
      </c>
      <c r="O65" s="232" t="str">
        <f t="shared" si="1"/>
        <v>søndag</v>
      </c>
      <c r="P65" s="147"/>
      <c r="Q65" s="147"/>
      <c r="R65" s="147"/>
      <c r="S65" s="147"/>
      <c r="T65" s="149">
        <v>58</v>
      </c>
      <c r="U65" s="149">
        <f t="shared" si="2"/>
        <v>2022</v>
      </c>
      <c r="V65" s="147" t="str">
        <f t="shared" si="0"/>
        <v/>
      </c>
      <c r="W65" s="142" t="s">
        <v>207</v>
      </c>
    </row>
    <row r="66" spans="1:23" x14ac:dyDescent="0.35">
      <c r="A66" s="10"/>
      <c r="B66" s="119">
        <v>59</v>
      </c>
      <c r="C66" s="128" t="s">
        <v>153</v>
      </c>
      <c r="D66" s="119" t="s">
        <v>6</v>
      </c>
      <c r="E66" s="129">
        <v>44933</v>
      </c>
      <c r="F66" s="130" t="s">
        <v>56</v>
      </c>
      <c r="G66" s="128" t="s">
        <v>126</v>
      </c>
      <c r="H66" s="128" t="s">
        <v>34</v>
      </c>
      <c r="I66" s="119" t="s">
        <v>51</v>
      </c>
      <c r="J66" s="145"/>
      <c r="K66" s="127"/>
      <c r="L66" s="119" t="s">
        <v>21</v>
      </c>
      <c r="M66" s="119" t="s">
        <v>15</v>
      </c>
      <c r="N66" s="127" t="str">
        <f t="shared" ca="1" si="5"/>
        <v xml:space="preserve">0 Years 4 Month 30 Days </v>
      </c>
      <c r="O66" s="229" t="str">
        <f t="shared" si="1"/>
        <v>lørdag</v>
      </c>
      <c r="P66" s="127"/>
      <c r="Q66" s="127"/>
      <c r="R66" s="127"/>
      <c r="S66" s="127"/>
      <c r="T66" s="119">
        <v>59</v>
      </c>
      <c r="U66" s="119">
        <f t="shared" si="2"/>
        <v>2023</v>
      </c>
      <c r="V66" s="127" t="str">
        <f t="shared" si="0"/>
        <v/>
      </c>
      <c r="W66" s="126" t="s">
        <v>204</v>
      </c>
    </row>
    <row r="67" spans="1:23" x14ac:dyDescent="0.35">
      <c r="A67" s="10"/>
      <c r="B67" s="119">
        <v>60</v>
      </c>
      <c r="C67" s="128" t="s">
        <v>154</v>
      </c>
      <c r="D67" s="119" t="s">
        <v>8</v>
      </c>
      <c r="E67" s="129">
        <v>44942</v>
      </c>
      <c r="F67" s="130" t="s">
        <v>56</v>
      </c>
      <c r="G67" s="119" t="s">
        <v>13</v>
      </c>
      <c r="H67" s="128" t="s">
        <v>34</v>
      </c>
      <c r="I67" s="119" t="s">
        <v>49</v>
      </c>
      <c r="J67" s="145"/>
      <c r="K67" s="127"/>
      <c r="L67" s="119" t="s">
        <v>21</v>
      </c>
      <c r="M67" s="119" t="s">
        <v>15</v>
      </c>
      <c r="N67" s="127" t="str">
        <f t="shared" ca="1" si="5"/>
        <v xml:space="preserve">0 Years 4 Month 21 Days </v>
      </c>
      <c r="O67" s="229" t="str">
        <f t="shared" si="1"/>
        <v>mandag</v>
      </c>
      <c r="P67" s="127" t="s">
        <v>99</v>
      </c>
      <c r="Q67" s="119" t="s">
        <v>44</v>
      </c>
      <c r="R67" s="127"/>
      <c r="S67" s="127"/>
      <c r="T67" s="119">
        <v>60</v>
      </c>
      <c r="U67" s="119">
        <f t="shared" si="2"/>
        <v>2023</v>
      </c>
      <c r="V67" s="127" t="str">
        <f t="shared" si="0"/>
        <v/>
      </c>
      <c r="W67" s="126" t="s">
        <v>204</v>
      </c>
    </row>
    <row r="68" spans="1:23" x14ac:dyDescent="0.35">
      <c r="A68" s="10"/>
      <c r="B68" s="119">
        <v>61</v>
      </c>
      <c r="C68" s="128" t="s">
        <v>155</v>
      </c>
      <c r="D68" s="119" t="s">
        <v>8</v>
      </c>
      <c r="E68" s="129">
        <v>44942</v>
      </c>
      <c r="F68" s="130" t="s">
        <v>56</v>
      </c>
      <c r="G68" s="119" t="s">
        <v>13</v>
      </c>
      <c r="H68" s="128" t="s">
        <v>34</v>
      </c>
      <c r="I68" s="119" t="s">
        <v>49</v>
      </c>
      <c r="J68" s="145"/>
      <c r="K68" s="127"/>
      <c r="L68" s="119" t="s">
        <v>21</v>
      </c>
      <c r="M68" s="119" t="s">
        <v>15</v>
      </c>
      <c r="N68" s="127" t="str">
        <f t="shared" ca="1" si="5"/>
        <v xml:space="preserve">0 Years 4 Month 21 Days </v>
      </c>
      <c r="O68" s="229" t="str">
        <f t="shared" si="1"/>
        <v>mandag</v>
      </c>
      <c r="P68" s="127" t="s">
        <v>99</v>
      </c>
      <c r="Q68" s="119" t="s">
        <v>44</v>
      </c>
      <c r="R68" s="127"/>
      <c r="S68" s="127"/>
      <c r="T68" s="119">
        <v>61</v>
      </c>
      <c r="U68" s="119">
        <f t="shared" si="2"/>
        <v>2023</v>
      </c>
      <c r="V68" s="127" t="str">
        <f t="shared" si="0"/>
        <v/>
      </c>
      <c r="W68" s="126" t="s">
        <v>204</v>
      </c>
    </row>
    <row r="69" spans="1:23" x14ac:dyDescent="0.35">
      <c r="A69" s="10"/>
      <c r="B69" s="119">
        <v>62</v>
      </c>
      <c r="C69" s="128" t="s">
        <v>158</v>
      </c>
      <c r="D69" s="119" t="s">
        <v>6</v>
      </c>
      <c r="E69" s="129">
        <v>44942</v>
      </c>
      <c r="F69" s="130" t="s">
        <v>56</v>
      </c>
      <c r="G69" s="119" t="s">
        <v>57</v>
      </c>
      <c r="H69" s="128" t="s">
        <v>34</v>
      </c>
      <c r="I69" s="119" t="s">
        <v>48</v>
      </c>
      <c r="J69" s="153"/>
      <c r="K69" s="127"/>
      <c r="L69" s="119" t="s">
        <v>21</v>
      </c>
      <c r="M69" s="119" t="s">
        <v>15</v>
      </c>
      <c r="N69" s="127" t="str">
        <f t="shared" ca="1" si="5"/>
        <v xml:space="preserve">0 Years 4 Month 21 Days </v>
      </c>
      <c r="O69" s="229" t="str">
        <f t="shared" si="1"/>
        <v>mandag</v>
      </c>
      <c r="P69" s="119" t="s">
        <v>100</v>
      </c>
      <c r="Q69" s="119" t="s">
        <v>44</v>
      </c>
      <c r="R69" s="127"/>
      <c r="S69" s="127"/>
      <c r="T69" s="119">
        <v>62</v>
      </c>
      <c r="U69" s="119">
        <f t="shared" si="2"/>
        <v>2023</v>
      </c>
      <c r="V69" s="127" t="str">
        <f t="shared" si="0"/>
        <v/>
      </c>
      <c r="W69" s="126" t="s">
        <v>204</v>
      </c>
    </row>
    <row r="70" spans="1:23" x14ac:dyDescent="0.35">
      <c r="A70" s="10"/>
      <c r="B70" s="119">
        <v>63</v>
      </c>
      <c r="C70" s="128" t="s">
        <v>159</v>
      </c>
      <c r="D70" s="119" t="s">
        <v>6</v>
      </c>
      <c r="E70" s="129">
        <v>44942</v>
      </c>
      <c r="F70" s="130" t="s">
        <v>56</v>
      </c>
      <c r="G70" s="119" t="s">
        <v>57</v>
      </c>
      <c r="H70" s="128" t="s">
        <v>34</v>
      </c>
      <c r="I70" s="119" t="s">
        <v>48</v>
      </c>
      <c r="J70" s="145"/>
      <c r="K70" s="127"/>
      <c r="L70" s="119" t="s">
        <v>21</v>
      </c>
      <c r="M70" s="119" t="s">
        <v>15</v>
      </c>
      <c r="N70" s="127" t="str">
        <f t="shared" ca="1" si="5"/>
        <v xml:space="preserve">0 Years 4 Month 21 Days </v>
      </c>
      <c r="O70" s="229" t="str">
        <f t="shared" si="1"/>
        <v>mandag</v>
      </c>
      <c r="P70" s="119" t="s">
        <v>100</v>
      </c>
      <c r="Q70" s="119" t="s">
        <v>44</v>
      </c>
      <c r="R70" s="127"/>
      <c r="S70" s="127"/>
      <c r="T70" s="119">
        <v>63</v>
      </c>
      <c r="U70" s="119">
        <f t="shared" si="2"/>
        <v>2023</v>
      </c>
      <c r="V70" s="127" t="str">
        <f t="shared" si="0"/>
        <v/>
      </c>
      <c r="W70" s="126" t="s">
        <v>204</v>
      </c>
    </row>
    <row r="71" spans="1:23" x14ac:dyDescent="0.35">
      <c r="A71" s="10"/>
      <c r="B71" s="119">
        <v>64</v>
      </c>
      <c r="C71" s="128" t="s">
        <v>160</v>
      </c>
      <c r="D71" s="119" t="s">
        <v>6</v>
      </c>
      <c r="E71" s="129">
        <v>44944</v>
      </c>
      <c r="F71" s="130" t="s">
        <v>56</v>
      </c>
      <c r="G71" s="146" t="s">
        <v>122</v>
      </c>
      <c r="H71" s="128" t="s">
        <v>34</v>
      </c>
      <c r="I71" s="119" t="s">
        <v>51</v>
      </c>
      <c r="J71" s="153"/>
      <c r="K71" s="127"/>
      <c r="L71" s="119" t="s">
        <v>21</v>
      </c>
      <c r="M71" s="119" t="s">
        <v>15</v>
      </c>
      <c r="N71" s="127" t="str">
        <f t="shared" ca="1" si="5"/>
        <v xml:space="preserve">0 Years 4 Month 19 Days </v>
      </c>
      <c r="O71" s="229" t="str">
        <f t="shared" si="1"/>
        <v>onsdag</v>
      </c>
      <c r="P71" s="127"/>
      <c r="Q71" s="127"/>
      <c r="R71" s="127"/>
      <c r="S71" s="127"/>
      <c r="T71" s="119">
        <v>64</v>
      </c>
      <c r="U71" s="119">
        <f t="shared" si="2"/>
        <v>2023</v>
      </c>
      <c r="V71" s="127" t="str">
        <f t="shared" si="0"/>
        <v/>
      </c>
      <c r="W71" s="126" t="s">
        <v>204</v>
      </c>
    </row>
    <row r="72" spans="1:23" x14ac:dyDescent="0.35">
      <c r="A72" s="10"/>
      <c r="B72" s="119">
        <v>65</v>
      </c>
      <c r="C72" s="128" t="s">
        <v>175</v>
      </c>
      <c r="D72" s="119" t="s">
        <v>6</v>
      </c>
      <c r="E72" s="129">
        <v>44950</v>
      </c>
      <c r="F72" s="130" t="s">
        <v>56</v>
      </c>
      <c r="G72" s="128" t="s">
        <v>127</v>
      </c>
      <c r="H72" s="128" t="s">
        <v>34</v>
      </c>
      <c r="I72" s="119" t="s">
        <v>46</v>
      </c>
      <c r="J72" s="153"/>
      <c r="K72" s="127"/>
      <c r="L72" s="119" t="s">
        <v>21</v>
      </c>
      <c r="M72" s="119" t="s">
        <v>15</v>
      </c>
      <c r="N72" s="127" t="str">
        <f t="shared" ca="1" si="5"/>
        <v xml:space="preserve">0 Years 4 Month 13 Days </v>
      </c>
      <c r="O72" s="229" t="str">
        <f t="shared" si="1"/>
        <v>tirsdag</v>
      </c>
      <c r="P72" s="127"/>
      <c r="Q72" s="127"/>
      <c r="R72" s="127"/>
      <c r="S72" s="127"/>
      <c r="T72" s="119">
        <v>65</v>
      </c>
      <c r="U72" s="119">
        <f t="shared" si="2"/>
        <v>2023</v>
      </c>
      <c r="V72" s="127" t="str">
        <f t="shared" ref="V72:V77" si="6">IF(J72=0,"",YEAR(J72))</f>
        <v/>
      </c>
      <c r="W72" s="126" t="s">
        <v>204</v>
      </c>
    </row>
    <row r="73" spans="1:23" x14ac:dyDescent="0.35">
      <c r="A73" s="10"/>
      <c r="B73" s="119">
        <v>66</v>
      </c>
      <c r="C73" s="128" t="s">
        <v>176</v>
      </c>
      <c r="D73" s="119" t="s">
        <v>8</v>
      </c>
      <c r="E73" s="129">
        <v>44950</v>
      </c>
      <c r="F73" s="130" t="s">
        <v>56</v>
      </c>
      <c r="G73" s="119" t="s">
        <v>60</v>
      </c>
      <c r="H73" s="128" t="s">
        <v>34</v>
      </c>
      <c r="I73" s="119" t="s">
        <v>49</v>
      </c>
      <c r="J73" s="153"/>
      <c r="K73" s="127"/>
      <c r="L73" s="119" t="s">
        <v>21</v>
      </c>
      <c r="M73" s="119" t="s">
        <v>15</v>
      </c>
      <c r="N73" s="127" t="str">
        <f t="shared" ca="1" si="5"/>
        <v xml:space="preserve">0 Years 4 Month 13 Days </v>
      </c>
      <c r="O73" s="229" t="str">
        <f t="shared" ref="O73:O81" si="7">TEXT(E73,"dddd")</f>
        <v>tirsdag</v>
      </c>
      <c r="P73" s="127"/>
      <c r="Q73" s="127"/>
      <c r="R73" s="127"/>
      <c r="S73" s="127"/>
      <c r="T73" s="119">
        <v>66</v>
      </c>
      <c r="U73" s="119">
        <f t="shared" si="2"/>
        <v>2023</v>
      </c>
      <c r="V73" s="127" t="str">
        <f t="shared" si="6"/>
        <v/>
      </c>
      <c r="W73" s="126" t="s">
        <v>204</v>
      </c>
    </row>
    <row r="74" spans="1:23" x14ac:dyDescent="0.35">
      <c r="A74" s="10"/>
      <c r="B74" s="119">
        <v>67</v>
      </c>
      <c r="C74" s="128" t="s">
        <v>201</v>
      </c>
      <c r="D74" s="119" t="s">
        <v>6</v>
      </c>
      <c r="E74" s="129">
        <v>45012</v>
      </c>
      <c r="F74" s="130" t="s">
        <v>56</v>
      </c>
      <c r="G74" s="128" t="s">
        <v>149</v>
      </c>
      <c r="H74" s="128" t="s">
        <v>34</v>
      </c>
      <c r="I74" s="119" t="s">
        <v>46</v>
      </c>
      <c r="J74" s="119"/>
      <c r="K74" s="119"/>
      <c r="L74" s="119" t="s">
        <v>21</v>
      </c>
      <c r="M74" s="119" t="s">
        <v>15</v>
      </c>
      <c r="N74" s="127" t="str">
        <f t="shared" ca="1" si="5"/>
        <v xml:space="preserve">0 Years 2 Month 10 Days </v>
      </c>
      <c r="O74" s="229" t="str">
        <f t="shared" si="7"/>
        <v>mandag</v>
      </c>
      <c r="P74" s="127"/>
      <c r="Q74" s="127"/>
      <c r="R74" s="127"/>
      <c r="S74" s="127"/>
      <c r="T74" s="119">
        <v>67</v>
      </c>
      <c r="U74" s="119">
        <f t="shared" ref="U74:U81" si="8">YEAR($E74)</f>
        <v>2023</v>
      </c>
      <c r="V74" s="127" t="str">
        <f t="shared" si="6"/>
        <v/>
      </c>
      <c r="W74" s="126" t="s">
        <v>205</v>
      </c>
    </row>
    <row r="75" spans="1:23" x14ac:dyDescent="0.35">
      <c r="A75" s="10"/>
      <c r="B75" s="119">
        <v>68</v>
      </c>
      <c r="C75" s="128" t="s">
        <v>202</v>
      </c>
      <c r="D75" s="119" t="s">
        <v>6</v>
      </c>
      <c r="E75" s="129">
        <v>45017</v>
      </c>
      <c r="F75" s="130" t="s">
        <v>56</v>
      </c>
      <c r="G75" s="119" t="s">
        <v>84</v>
      </c>
      <c r="H75" s="128" t="s">
        <v>34</v>
      </c>
      <c r="I75" s="119" t="s">
        <v>46</v>
      </c>
      <c r="J75" s="119"/>
      <c r="K75" s="119"/>
      <c r="L75" s="119" t="s">
        <v>21</v>
      </c>
      <c r="M75" s="119" t="s">
        <v>15</v>
      </c>
      <c r="N75" s="127" t="str">
        <f t="shared" ca="1" si="5"/>
        <v xml:space="preserve">0 Years 2 Month 5 Days </v>
      </c>
      <c r="O75" s="229" t="str">
        <f t="shared" si="7"/>
        <v>lørdag</v>
      </c>
      <c r="P75" s="127"/>
      <c r="Q75" s="127"/>
      <c r="R75" s="127"/>
      <c r="S75" s="127"/>
      <c r="T75" s="119">
        <v>68</v>
      </c>
      <c r="U75" s="119">
        <f t="shared" si="8"/>
        <v>2023</v>
      </c>
      <c r="V75" s="127" t="str">
        <f t="shared" si="6"/>
        <v/>
      </c>
      <c r="W75" s="126" t="s">
        <v>206</v>
      </c>
    </row>
    <row r="76" spans="1:23" x14ac:dyDescent="0.35">
      <c r="A76" s="10"/>
      <c r="B76" s="119">
        <v>69</v>
      </c>
      <c r="C76" s="128" t="s">
        <v>203</v>
      </c>
      <c r="D76" s="119" t="s">
        <v>8</v>
      </c>
      <c r="E76" s="129">
        <v>45023</v>
      </c>
      <c r="F76" s="130" t="s">
        <v>56</v>
      </c>
      <c r="G76" s="119" t="s">
        <v>103</v>
      </c>
      <c r="H76" s="128" t="s">
        <v>34</v>
      </c>
      <c r="I76" s="119" t="s">
        <v>49</v>
      </c>
      <c r="J76" s="119"/>
      <c r="K76" s="119"/>
      <c r="L76" s="119" t="s">
        <v>21</v>
      </c>
      <c r="M76" s="119" t="s">
        <v>15</v>
      </c>
      <c r="N76" s="127" t="str">
        <f t="shared" ca="1" si="5"/>
        <v xml:space="preserve">0 Years 1 Month 30 Days </v>
      </c>
      <c r="O76" s="229" t="str">
        <f t="shared" si="7"/>
        <v>fredag</v>
      </c>
      <c r="P76" s="127"/>
      <c r="Q76" s="127"/>
      <c r="R76" s="127"/>
      <c r="S76" s="127"/>
      <c r="T76" s="119">
        <v>69</v>
      </c>
      <c r="U76" s="119">
        <f t="shared" si="8"/>
        <v>2023</v>
      </c>
      <c r="V76" s="127" t="str">
        <f t="shared" si="6"/>
        <v/>
      </c>
      <c r="W76" s="126" t="s">
        <v>206</v>
      </c>
    </row>
    <row r="77" spans="1:23" x14ac:dyDescent="0.35">
      <c r="A77" s="10"/>
      <c r="B77" s="119">
        <v>70</v>
      </c>
      <c r="C77" s="128" t="s">
        <v>229</v>
      </c>
      <c r="D77" s="119" t="s">
        <v>8</v>
      </c>
      <c r="E77" s="129">
        <v>45031</v>
      </c>
      <c r="F77" s="130" t="s">
        <v>56</v>
      </c>
      <c r="G77" s="128" t="s">
        <v>150</v>
      </c>
      <c r="H77" s="128" t="s">
        <v>34</v>
      </c>
      <c r="I77" s="119" t="s">
        <v>52</v>
      </c>
      <c r="J77" s="119"/>
      <c r="K77" s="119"/>
      <c r="L77" s="119" t="s">
        <v>21</v>
      </c>
      <c r="M77" s="119" t="s">
        <v>15</v>
      </c>
      <c r="N77" s="127" t="str">
        <f t="shared" ca="1" si="5"/>
        <v xml:space="preserve">0 Years 1 Month 22 Days </v>
      </c>
      <c r="O77" s="229" t="str">
        <f t="shared" si="7"/>
        <v>lørdag</v>
      </c>
      <c r="P77" s="127"/>
      <c r="Q77" s="127"/>
      <c r="R77" s="127"/>
      <c r="S77" s="127"/>
      <c r="T77" s="119">
        <v>70</v>
      </c>
      <c r="U77" s="119">
        <f t="shared" si="8"/>
        <v>2023</v>
      </c>
      <c r="V77" s="127" t="str">
        <f t="shared" si="6"/>
        <v/>
      </c>
      <c r="W77" s="206" t="s">
        <v>206</v>
      </c>
    </row>
    <row r="78" spans="1:23" x14ac:dyDescent="0.35">
      <c r="B78" s="127">
        <v>71</v>
      </c>
      <c r="C78" s="146" t="s">
        <v>237</v>
      </c>
      <c r="D78" s="119" t="s">
        <v>6</v>
      </c>
      <c r="E78" s="219">
        <v>45078</v>
      </c>
      <c r="F78" s="130" t="s">
        <v>56</v>
      </c>
      <c r="G78" s="128" t="s">
        <v>134</v>
      </c>
      <c r="H78" s="128" t="s">
        <v>34</v>
      </c>
      <c r="I78" s="119" t="s">
        <v>46</v>
      </c>
      <c r="L78" s="119" t="s">
        <v>21</v>
      </c>
      <c r="M78" s="119" t="s">
        <v>15</v>
      </c>
      <c r="N78" s="127" t="str">
        <f t="shared" ca="1" si="5"/>
        <v xml:space="preserve">0 Years 0 Month 5 Days </v>
      </c>
      <c r="O78" s="229" t="str">
        <f t="shared" si="7"/>
        <v>torsdag</v>
      </c>
      <c r="T78" s="119">
        <v>71</v>
      </c>
      <c r="U78" s="119">
        <f t="shared" si="8"/>
        <v>2023</v>
      </c>
      <c r="V78" s="127" t="str">
        <f t="shared" ref="V78" si="9">IF(J78=0,"",YEAR(J78))</f>
        <v/>
      </c>
      <c r="W78" s="206" t="s">
        <v>238</v>
      </c>
    </row>
    <row r="79" spans="1:23" x14ac:dyDescent="0.35">
      <c r="B79" s="127">
        <v>72</v>
      </c>
      <c r="C79" s="234" t="s">
        <v>241</v>
      </c>
      <c r="D79" s="119" t="s">
        <v>6</v>
      </c>
      <c r="E79" s="233">
        <v>45078</v>
      </c>
      <c r="F79" s="130" t="s">
        <v>56</v>
      </c>
      <c r="G79" s="119" t="s">
        <v>61</v>
      </c>
      <c r="H79" s="128" t="s">
        <v>34</v>
      </c>
      <c r="I79" s="119" t="s">
        <v>48</v>
      </c>
      <c r="L79" s="119" t="s">
        <v>21</v>
      </c>
      <c r="M79" s="119" t="s">
        <v>15</v>
      </c>
      <c r="N79" s="127" t="str">
        <f t="shared" ca="1" si="5"/>
        <v xml:space="preserve">0 Years 0 Month 5 Days </v>
      </c>
      <c r="O79" s="211" t="str">
        <f t="shared" si="7"/>
        <v>torsdag</v>
      </c>
      <c r="P79" s="119" t="s">
        <v>101</v>
      </c>
      <c r="Q79" s="119" t="s">
        <v>44</v>
      </c>
      <c r="T79" s="119">
        <v>72</v>
      </c>
      <c r="U79" s="127">
        <f t="shared" si="8"/>
        <v>2023</v>
      </c>
      <c r="W79" s="206" t="s">
        <v>238</v>
      </c>
    </row>
    <row r="80" spans="1:23" x14ac:dyDescent="0.35">
      <c r="B80" s="127">
        <v>73</v>
      </c>
      <c r="C80" s="234" t="s">
        <v>242</v>
      </c>
      <c r="D80" s="119" t="s">
        <v>8</v>
      </c>
      <c r="E80" s="219">
        <v>45078</v>
      </c>
      <c r="F80" s="130" t="s">
        <v>56</v>
      </c>
      <c r="G80" s="119" t="s">
        <v>61</v>
      </c>
      <c r="H80" s="128" t="s">
        <v>34</v>
      </c>
      <c r="I80" s="119" t="s">
        <v>49</v>
      </c>
      <c r="L80" s="119" t="s">
        <v>21</v>
      </c>
      <c r="M80" s="119" t="s">
        <v>15</v>
      </c>
      <c r="N80" s="127" t="str">
        <f t="shared" ca="1" si="5"/>
        <v xml:space="preserve">0 Years 0 Month 5 Days </v>
      </c>
      <c r="O80" s="211" t="str">
        <f t="shared" si="7"/>
        <v>torsdag</v>
      </c>
      <c r="P80" s="119" t="s">
        <v>101</v>
      </c>
      <c r="Q80" s="119" t="s">
        <v>44</v>
      </c>
      <c r="T80" s="119">
        <v>73</v>
      </c>
      <c r="U80" s="127">
        <f t="shared" si="8"/>
        <v>2023</v>
      </c>
      <c r="W80" s="206" t="s">
        <v>238</v>
      </c>
    </row>
    <row r="81" spans="2:23" x14ac:dyDescent="0.35">
      <c r="B81" s="127">
        <v>74</v>
      </c>
      <c r="C81" t="s">
        <v>243</v>
      </c>
      <c r="D81" s="119" t="s">
        <v>8</v>
      </c>
      <c r="E81" s="219">
        <v>45081</v>
      </c>
      <c r="F81" s="130" t="s">
        <v>56</v>
      </c>
      <c r="G81" s="119" t="s">
        <v>24</v>
      </c>
      <c r="H81" s="128" t="s">
        <v>34</v>
      </c>
      <c r="I81" s="119" t="s">
        <v>49</v>
      </c>
      <c r="L81" s="119" t="s">
        <v>21</v>
      </c>
      <c r="M81" s="119" t="s">
        <v>15</v>
      </c>
      <c r="N81" s="146" t="str">
        <f t="shared" ca="1" si="5"/>
        <v xml:space="preserve">0 Years 0 Month 2 Days </v>
      </c>
      <c r="O81" s="211" t="str">
        <f t="shared" si="7"/>
        <v>søndag</v>
      </c>
      <c r="T81" s="127">
        <v>74</v>
      </c>
      <c r="U81" s="146">
        <f t="shared" si="8"/>
        <v>2023</v>
      </c>
      <c r="W81" s="206" t="s">
        <v>238</v>
      </c>
    </row>
  </sheetData>
  <mergeCells count="34">
    <mergeCell ref="R6:R7"/>
    <mergeCell ref="M6:M7"/>
    <mergeCell ref="T6:T7"/>
    <mergeCell ref="U6:U7"/>
    <mergeCell ref="W6:W7"/>
    <mergeCell ref="N6:N7"/>
    <mergeCell ref="O6:O7"/>
    <mergeCell ref="S6:S7"/>
    <mergeCell ref="V6:V7"/>
    <mergeCell ref="B6:B7"/>
    <mergeCell ref="C6:C7"/>
    <mergeCell ref="D6:D7"/>
    <mergeCell ref="E6:E7"/>
    <mergeCell ref="F6:F7"/>
    <mergeCell ref="D3:D4"/>
    <mergeCell ref="B3:C4"/>
    <mergeCell ref="E3:E4"/>
    <mergeCell ref="F3:F4"/>
    <mergeCell ref="B2:C2"/>
    <mergeCell ref="G3:G4"/>
    <mergeCell ref="M3:M4"/>
    <mergeCell ref="H3:H4"/>
    <mergeCell ref="I3:I4"/>
    <mergeCell ref="J3:J4"/>
    <mergeCell ref="K3:K4"/>
    <mergeCell ref="L3:L4"/>
    <mergeCell ref="L6:L7"/>
    <mergeCell ref="P6:P7"/>
    <mergeCell ref="Q6:Q7"/>
    <mergeCell ref="J6:J7"/>
    <mergeCell ref="G6:G7"/>
    <mergeCell ref="H6:H7"/>
    <mergeCell ref="I6:I7"/>
    <mergeCell ref="K6:K7"/>
  </mergeCells>
  <dataValidations count="7">
    <dataValidation type="list" allowBlank="1" showInputMessage="1" showErrorMessage="1" sqref="P20:P25 P10:P11 P14:P16 P18 P52:P56 P67:P68 P71:Q73 R68:S73 P79:P80">
      <formula1>$J$8:$J$12</formula1>
    </dataValidation>
    <dataValidation type="list" allowBlank="1" showInputMessage="1" showErrorMessage="1" sqref="P26:P34 P40 P8:P9 P12:P13 P17 P19 P38 P42 P69:P70 R67:S67 P75:S77">
      <formula1>$L$9:$L$14</formula1>
    </dataValidation>
    <dataValidation type="list" allowBlank="1" showInputMessage="1" showErrorMessage="1" sqref="M38 M14:M15 M20:M24 M17 M26">
      <formula1>$J$9:$J$14</formula1>
    </dataValidation>
    <dataValidation type="list" allowBlank="1" showInputMessage="1" showErrorMessage="1" sqref="H20:H21 H18 H14:H15 H10:H11 H23:H24">
      <formula1>$I$9:$I$10</formula1>
    </dataValidation>
    <dataValidation type="list" allowBlank="1" showInputMessage="1" showErrorMessage="1" sqref="K72:K73 K65 K15 K23:K24">
      <formula1>#REF!</formula1>
    </dataValidation>
    <dataValidation type="list" allowBlank="1" showInputMessage="1" showErrorMessage="1" sqref="D8:D81">
      <formula1>Male</formula1>
    </dataValidation>
    <dataValidation type="list" allowBlank="1" showInputMessage="1" showErrorMessage="1" sqref="F8:F81">
      <formula1>Born</formula1>
    </dataValidation>
  </dataValidation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List!#REF!</xm:f>
          </x14:formula1>
          <xm:sqref>H8:H9 H25:H41 H12:H13 C30 H16:H17 H43:H63 P62:S66 H22 H19 M39:M41 M33:M37 M44:M81 M25</xm:sqref>
        </x14:dataValidation>
        <x14:dataValidation type="list" allowBlank="1" showInputMessage="1" showErrorMessage="1">
          <x14:formula1>
            <xm:f>List!$F$16:$F$18</xm:f>
          </x14:formula1>
          <xm:sqref>L8:L81</xm:sqref>
        </x14:dataValidation>
        <x14:dataValidation type="list" allowBlank="1" showInputMessage="1" showErrorMessage="1">
          <x14:formula1>
            <xm:f>List!$G$7:$G$14</xm:f>
          </x14:formula1>
          <xm:sqref>I8:I81</xm:sqref>
        </x14:dataValidation>
        <x14:dataValidation type="list" allowBlank="1" showInputMessage="1" showErrorMessage="1">
          <x14:formula1>
            <xm:f>List!$I$7:$I$44</xm:f>
          </x14:formula1>
          <xm:sqref>G8:G77 G79:G81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7"/>
  <sheetViews>
    <sheetView topLeftCell="A7" workbookViewId="0">
      <selection activeCell="J20" sqref="J20"/>
    </sheetView>
  </sheetViews>
  <sheetFormatPr defaultRowHeight="15.5" x14ac:dyDescent="0.35"/>
  <cols>
    <col min="1" max="1" width="2.4609375" customWidth="1"/>
    <col min="2" max="2" width="39.23046875" customWidth="1"/>
    <col min="3" max="3" width="13.07421875" customWidth="1"/>
    <col min="4" max="4" width="8" style="25" customWidth="1"/>
    <col min="5" max="5" width="12.84375" customWidth="1"/>
    <col min="6" max="6" width="3.53515625" customWidth="1"/>
    <col min="7" max="7" width="3" customWidth="1"/>
    <col min="8" max="8" width="2.69140625" customWidth="1"/>
    <col min="9" max="9" width="2.765625" customWidth="1"/>
    <col min="10" max="10" width="16.84375" customWidth="1"/>
  </cols>
  <sheetData>
    <row r="1" spans="1:18" x14ac:dyDescent="0.35">
      <c r="A1" s="10"/>
      <c r="B1" s="10"/>
      <c r="C1" s="10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6" thickBo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6" thickBot="1" x14ac:dyDescent="0.4">
      <c r="A5" s="10"/>
      <c r="B5" s="47" t="s">
        <v>0</v>
      </c>
      <c r="C5" s="44" t="s">
        <v>0</v>
      </c>
      <c r="D5" s="45" t="s">
        <v>74</v>
      </c>
      <c r="E5" s="46" t="s">
        <v>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23" thickBot="1" x14ac:dyDescent="0.4">
      <c r="A6" s="10"/>
      <c r="B6" s="271" t="s">
        <v>75</v>
      </c>
      <c r="C6" s="272"/>
      <c r="D6" s="272"/>
      <c r="E6" s="27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35">
      <c r="A7" s="10"/>
      <c r="B7" s="1" t="s">
        <v>16</v>
      </c>
      <c r="C7" s="32" t="s">
        <v>7</v>
      </c>
      <c r="D7" s="71">
        <v>1</v>
      </c>
      <c r="E7" s="26">
        <v>44173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35">
      <c r="A8" s="10"/>
      <c r="B8" s="2" t="s">
        <v>17</v>
      </c>
      <c r="C8" s="27" t="s">
        <v>5</v>
      </c>
      <c r="D8" s="6">
        <v>2</v>
      </c>
      <c r="E8" s="28">
        <v>44173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6" thickBot="1" x14ac:dyDescent="0.4">
      <c r="A9" s="10"/>
      <c r="B9" s="2" t="s">
        <v>85</v>
      </c>
      <c r="C9" s="27" t="s">
        <v>95</v>
      </c>
      <c r="D9" s="6" t="s">
        <v>96</v>
      </c>
      <c r="E9" s="28">
        <v>43974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3.25" customHeight="1" thickBot="1" x14ac:dyDescent="0.5">
      <c r="A10" s="10"/>
      <c r="B10" s="274" t="s">
        <v>19</v>
      </c>
      <c r="C10" s="275"/>
      <c r="D10" s="275"/>
      <c r="E10" s="27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5">
      <c r="A11" s="10"/>
      <c r="B11" s="2" t="s">
        <v>16</v>
      </c>
      <c r="C11" s="36" t="s">
        <v>87</v>
      </c>
      <c r="D11" s="37" t="s">
        <v>86</v>
      </c>
      <c r="E11" s="28">
        <v>44039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5">
      <c r="A12" s="10"/>
      <c r="B12" s="2" t="s">
        <v>17</v>
      </c>
      <c r="C12" s="36" t="s">
        <v>31</v>
      </c>
      <c r="D12" s="37">
        <v>8</v>
      </c>
      <c r="E12" s="28">
        <v>43841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5">
      <c r="A13" s="10"/>
      <c r="B13" s="2" t="s">
        <v>92</v>
      </c>
      <c r="C13" s="27" t="s">
        <v>34</v>
      </c>
      <c r="D13" s="6">
        <v>19</v>
      </c>
      <c r="E13" s="28">
        <v>44084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5">
      <c r="A14" s="10"/>
      <c r="B14" s="2" t="s">
        <v>93</v>
      </c>
      <c r="C14" s="27"/>
      <c r="D14" s="6"/>
      <c r="E14" s="2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5">
      <c r="A15" s="10"/>
      <c r="B15" s="2" t="s">
        <v>99</v>
      </c>
      <c r="C15" s="36" t="s">
        <v>87</v>
      </c>
      <c r="D15" s="37" t="s">
        <v>86</v>
      </c>
      <c r="E15" s="28">
        <v>44039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5">
      <c r="A16" s="10"/>
      <c r="B16" s="2" t="s">
        <v>100</v>
      </c>
      <c r="C16" s="27" t="s">
        <v>138</v>
      </c>
      <c r="D16" s="6" t="s">
        <v>139</v>
      </c>
      <c r="E16" s="28">
        <v>44128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35">
      <c r="A17" s="10"/>
      <c r="B17" s="2" t="s">
        <v>101</v>
      </c>
      <c r="C17" s="27" t="s">
        <v>233</v>
      </c>
      <c r="D17" s="6">
        <v>47.48</v>
      </c>
      <c r="E17" s="28">
        <v>44574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5">
      <c r="A18" s="10"/>
      <c r="B18" s="2" t="s">
        <v>18</v>
      </c>
      <c r="C18" s="27"/>
      <c r="D18" s="6"/>
      <c r="E18" s="2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6" thickBot="1" x14ac:dyDescent="0.4">
      <c r="A19" s="10"/>
      <c r="B19" s="4" t="s">
        <v>82</v>
      </c>
      <c r="C19" s="33" t="s">
        <v>140</v>
      </c>
      <c r="D19" s="70" t="s">
        <v>88</v>
      </c>
      <c r="E19" s="31">
        <v>44081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3.25" customHeight="1" thickBot="1" x14ac:dyDescent="0.4">
      <c r="A20" s="10"/>
      <c r="B20" s="265" t="s">
        <v>90</v>
      </c>
      <c r="C20" s="266"/>
      <c r="D20" s="266"/>
      <c r="E20" s="267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5">
      <c r="A21" s="10"/>
      <c r="B21" s="1" t="s">
        <v>135</v>
      </c>
      <c r="C21" s="32" t="s">
        <v>33</v>
      </c>
      <c r="D21" s="71">
        <v>18</v>
      </c>
      <c r="E21" s="26">
        <v>44086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5">
      <c r="A22" s="10"/>
      <c r="B22" s="2" t="s">
        <v>141</v>
      </c>
      <c r="C22" s="36" t="s">
        <v>14</v>
      </c>
      <c r="D22" s="37">
        <v>7</v>
      </c>
      <c r="E22" s="28">
        <v>44103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6" thickBot="1" x14ac:dyDescent="0.4">
      <c r="A23" s="10"/>
      <c r="B23" s="4" t="s">
        <v>89</v>
      </c>
      <c r="C23" s="33" t="s">
        <v>71</v>
      </c>
      <c r="D23" s="70">
        <v>25</v>
      </c>
      <c r="E23" s="31">
        <v>44121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3" thickBot="1" x14ac:dyDescent="0.4">
      <c r="A24" s="10"/>
      <c r="B24" s="268" t="s">
        <v>91</v>
      </c>
      <c r="C24" s="269"/>
      <c r="D24" s="269"/>
      <c r="E24" s="27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35">
      <c r="A25" s="10"/>
      <c r="B25" s="1" t="s">
        <v>137</v>
      </c>
      <c r="C25" s="32" t="s">
        <v>7</v>
      </c>
      <c r="D25" s="71">
        <v>1</v>
      </c>
      <c r="E25" s="26">
        <v>44711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6" thickBot="1" x14ac:dyDescent="0.4">
      <c r="A26" s="10"/>
      <c r="B26" s="4" t="s">
        <v>136</v>
      </c>
      <c r="C26" s="30"/>
      <c r="D26" s="7"/>
      <c r="E26" s="6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35">
      <c r="A27" s="10"/>
      <c r="B27" s="10"/>
      <c r="C27" s="10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</sheetData>
  <mergeCells count="4">
    <mergeCell ref="B20:E20"/>
    <mergeCell ref="B24:E24"/>
    <mergeCell ref="B6:E6"/>
    <mergeCell ref="B10:E10"/>
  </mergeCells>
  <pageMargins left="0" right="0" top="0" bottom="0" header="0" footer="0"/>
  <pageSetup paperSize="9" orientation="portrait" horizontalDpi="4294967293" verticalDpi="0" r:id="rId1"/>
  <headerFooter>
    <oddHeader>&amp;C&amp;22 1. of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5"/>
  <sheetViews>
    <sheetView workbookViewId="0">
      <selection activeCell="E16" sqref="E16"/>
    </sheetView>
  </sheetViews>
  <sheetFormatPr defaultRowHeight="15.5" x14ac:dyDescent="0.35"/>
  <cols>
    <col min="1" max="1" width="1.84375" customWidth="1"/>
    <col min="6" max="6" width="8" customWidth="1"/>
  </cols>
  <sheetData>
    <row r="1" spans="2:16" ht="16" thickBot="1" x14ac:dyDescent="0.4"/>
    <row r="2" spans="2:16" ht="16" thickBot="1" x14ac:dyDescent="0.4">
      <c r="B2" s="49" t="s">
        <v>21</v>
      </c>
      <c r="C2" s="51">
        <f>COUNTIF(Record!$L$8:'Record'!$L$100,"alive")</f>
        <v>39</v>
      </c>
      <c r="D2" s="83" t="s">
        <v>142</v>
      </c>
      <c r="E2" s="77">
        <f>SUM($E$3:$E$4)</f>
        <v>39</v>
      </c>
      <c r="F2" s="76" t="s">
        <v>35</v>
      </c>
      <c r="G2" s="77">
        <f>SUM($G$3:$G$4)</f>
        <v>28</v>
      </c>
      <c r="H2" s="76" t="s">
        <v>75</v>
      </c>
      <c r="I2" s="42">
        <f>COUNTIFS(Record!$F$8:'Record'!$F$100,"Bought")</f>
        <v>17</v>
      </c>
      <c r="J2" s="84" t="s">
        <v>133</v>
      </c>
      <c r="K2" s="42">
        <f>COUNTIFS(Record!$L$8:'Record'!$L$100,"sold")</f>
        <v>7</v>
      </c>
      <c r="L2" s="76" t="s">
        <v>56</v>
      </c>
      <c r="M2" s="77">
        <f>COUNTIF(Record!F8:'Record'!F100,"Born")</f>
        <v>57</v>
      </c>
      <c r="N2" s="85"/>
      <c r="O2" s="277">
        <f>VLOOKUP($N$3,List!B7:'List'!T200,12,0)</f>
        <v>2023</v>
      </c>
      <c r="P2" s="278"/>
    </row>
    <row r="3" spans="2:16" ht="15.5" customHeight="1" x14ac:dyDescent="0.35">
      <c r="B3" s="74" t="s">
        <v>35</v>
      </c>
      <c r="C3" s="75">
        <f>COUNTIF(Record!$L$8:'Record'!$L$100,"dead")</f>
        <v>28</v>
      </c>
      <c r="D3" s="72" t="s">
        <v>6</v>
      </c>
      <c r="E3" s="42">
        <f>COUNTIFS(Record!$D$8:'Record'!$D$100,"Female",Record!$L$8:'Record'!$L$100,"alive")</f>
        <v>26</v>
      </c>
      <c r="F3" s="50" t="s">
        <v>6</v>
      </c>
      <c r="G3" s="42">
        <f>COUNTIFS(Record!$D$8:'Record'!$D$100,"Female",Record!$L$8:'Record'!$L$100,"dead")</f>
        <v>15</v>
      </c>
      <c r="H3" s="50" t="s">
        <v>6</v>
      </c>
      <c r="I3" s="42">
        <f>COUNTIFS(Record!$D$8:'Record'!$D$100,"Female",Record!$F$8:'Record'!$F$100,"Bought")</f>
        <v>15</v>
      </c>
      <c r="J3" s="50" t="s">
        <v>6</v>
      </c>
      <c r="K3" s="42">
        <f>COUNTIFS(Record!$D$8:'Record'!$D$100,"Female",Record!$L$8:'Record'!$L$100,"sold")</f>
        <v>0</v>
      </c>
      <c r="L3" s="50" t="s">
        <v>6</v>
      </c>
      <c r="M3" s="51">
        <f>COUNTIFS(Record!$D$8:'Record'!$D$100,"Female",Record!$F$8:'Record'!$F$100,"born")</f>
        <v>26</v>
      </c>
      <c r="N3" s="221">
        <v>5</v>
      </c>
      <c r="O3" s="279"/>
      <c r="P3" s="280"/>
    </row>
    <row r="4" spans="2:16" ht="16" customHeight="1" thickBot="1" x14ac:dyDescent="0.4">
      <c r="B4" s="19" t="s">
        <v>133</v>
      </c>
      <c r="C4" s="53">
        <f>COUNTIF(Record!$L$8:'Record'!$L$100,"sold")</f>
        <v>7</v>
      </c>
      <c r="D4" s="73" t="s">
        <v>8</v>
      </c>
      <c r="E4" s="38">
        <f>COUNTIFS(Record!$D$8:'Record'!$D$100,"male",Record!$L$8:'Record'!$L$100,"alive")</f>
        <v>13</v>
      </c>
      <c r="F4" s="52" t="s">
        <v>8</v>
      </c>
      <c r="G4" s="38">
        <f>COUNTIFS(Record!$D$8:'Record'!$D$100,"male",Record!$L$8:'Record'!$L$100,"dead")</f>
        <v>13</v>
      </c>
      <c r="H4" s="52" t="s">
        <v>8</v>
      </c>
      <c r="I4" s="38">
        <f>COUNTIFS(Record!$D$8:'Record'!$D$100,"male",Record!$F$8:'Record'!$F$100,"Bought")</f>
        <v>2</v>
      </c>
      <c r="J4" s="52" t="s">
        <v>8</v>
      </c>
      <c r="K4" s="38">
        <f>COUNTIFS(Record!$D$8:'Record'!$D$100,"male",Record!$L$8:'Record'!$L$100,"sold")</f>
        <v>7</v>
      </c>
      <c r="L4" s="52" t="s">
        <v>8</v>
      </c>
      <c r="M4" s="53">
        <f>COUNTIFS(Record!$D$8:'Record'!$D$100,"male",Record!$F$8:'Record'!$F$100,"born")</f>
        <v>31</v>
      </c>
      <c r="N4" s="222"/>
      <c r="O4" s="281"/>
      <c r="P4" s="282"/>
    </row>
    <row r="7" spans="2:16" ht="16" thickBot="1" x14ac:dyDescent="0.4"/>
    <row r="8" spans="2:16" ht="16" thickBot="1" x14ac:dyDescent="0.4">
      <c r="B8" s="76" t="s">
        <v>56</v>
      </c>
      <c r="C8" s="77">
        <f>SUM(C9:C10)</f>
        <v>16</v>
      </c>
      <c r="E8" s="76" t="s">
        <v>75</v>
      </c>
      <c r="F8" s="77">
        <f>SUM(F9:F10)</f>
        <v>0</v>
      </c>
      <c r="H8" s="76" t="s">
        <v>35</v>
      </c>
      <c r="I8" s="77">
        <f>SUM($I$9:$I$10)</f>
        <v>0</v>
      </c>
      <c r="K8" s="76" t="s">
        <v>133</v>
      </c>
      <c r="L8" s="77">
        <f>SUM($L$9:$L$10)</f>
        <v>0</v>
      </c>
    </row>
    <row r="9" spans="2:16" x14ac:dyDescent="0.35">
      <c r="B9" s="50" t="s">
        <v>6</v>
      </c>
      <c r="C9" s="51">
        <f>COUNTIFS(Record!D8:'Record'!D100,"Female",Record!F8:'Record'!F100,"born",Record!U8:'Record'!U100,$O$2)</f>
        <v>9</v>
      </c>
      <c r="E9" s="50" t="s">
        <v>6</v>
      </c>
      <c r="F9" s="51">
        <f>COUNTIFS(Record!D8:'Record'!D100,"Female",Record!F8:'Record'!F100,"bought",Record!U8:'Record'!U100,$O$2)</f>
        <v>0</v>
      </c>
      <c r="H9" s="50" t="s">
        <v>6</v>
      </c>
      <c r="I9" s="51">
        <f>COUNTIFS(Record!$D$8:'Record'!$D$100,"Female",Record!L8:'Record'!L100,"dead",Record!$V$8:'Record'!$V$100,$O$2)</f>
        <v>0</v>
      </c>
      <c r="K9" s="50" t="s">
        <v>6</v>
      </c>
      <c r="L9" s="51">
        <f>COUNTIFS(Record!$D$8:'Record'!$D$100,"Female",Record!$L$8:'Record'!$L$100,"sold",Record!$V$8:'Record'!$V$100,$O$2)</f>
        <v>0</v>
      </c>
    </row>
    <row r="10" spans="2:16" ht="16" thickBot="1" x14ac:dyDescent="0.4">
      <c r="B10" s="52" t="s">
        <v>8</v>
      </c>
      <c r="C10" s="53">
        <f>COUNTIFS(Record!D9:'Record'!D101,"male",Record!F9:'Record'!F101,"born",Record!U9:'Record'!U101,$O$2)</f>
        <v>7</v>
      </c>
      <c r="E10" s="52" t="s">
        <v>8</v>
      </c>
      <c r="F10" s="53">
        <f>COUNTIFS(Record!D9:'Record'!D101,"male",Record!F9:'Record'!F101,"bought",Record!U9:'Record'!U101,$O$2)</f>
        <v>0</v>
      </c>
      <c r="H10" s="52" t="s">
        <v>8</v>
      </c>
      <c r="I10" s="53">
        <f>COUNTIFS(Record!$D$8:'Record'!$D$100,"male",Record!L8:'Record'!L100,"dead",Record!$V$8:'Record'!$V$100,$O$2)</f>
        <v>0</v>
      </c>
      <c r="K10" s="52" t="s">
        <v>8</v>
      </c>
      <c r="L10" s="53">
        <f>COUNTIFS(Record!$D$8:'Record'!$D$100,"male",Record!$L$8:'Record'!$L$100,"sold",Record!$V$8:'Record'!$V$100,$O$2)</f>
        <v>0</v>
      </c>
    </row>
    <row r="12" spans="2:16" ht="16" thickBot="1" x14ac:dyDescent="0.4"/>
    <row r="13" spans="2:16" ht="16" thickBot="1" x14ac:dyDescent="0.4">
      <c r="B13" s="76" t="s">
        <v>44</v>
      </c>
      <c r="C13" s="77" t="str">
        <f>SUM(C14:C15)/2&amp;" Set"</f>
        <v>3 Set</v>
      </c>
    </row>
    <row r="14" spans="2:16" x14ac:dyDescent="0.35">
      <c r="B14" s="50" t="s">
        <v>6</v>
      </c>
      <c r="C14" s="51">
        <f>COUNTIFS(Record!D8:'Record'!D100,"Female",Record!Q8:'Record'!Q100,"twin",Record!U8:'Record'!U100,$O$2)</f>
        <v>3</v>
      </c>
    </row>
    <row r="15" spans="2:16" ht="16" thickBot="1" x14ac:dyDescent="0.4">
      <c r="B15" s="52" t="s">
        <v>8</v>
      </c>
      <c r="C15" s="53">
        <f>COUNTIFS(Record!D8:'Record'!D101,"male",Record!Q8:'Record'!Q101,"twin",Record!U8:'Record'!U101,$O$2)</f>
        <v>3</v>
      </c>
    </row>
  </sheetData>
  <mergeCells count="1">
    <mergeCell ref="O2:P4"/>
  </mergeCells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6" r:id="rId4" name="Spinner 2">
              <controlPr defaultSize="0" autoPict="0">
                <anchor moveWithCells="1" sizeWithCells="1">
                  <from>
                    <xdr:col>13</xdr:col>
                    <xdr:colOff>31750</xdr:colOff>
                    <xdr:row>1</xdr:row>
                    <xdr:rowOff>6350</xdr:rowOff>
                  </from>
                  <to>
                    <xdr:col>14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Zeros="0" workbookViewId="0">
      <selection activeCell="G74" sqref="G74"/>
    </sheetView>
  </sheetViews>
  <sheetFormatPr defaultRowHeight="15.5" x14ac:dyDescent="0.35"/>
  <cols>
    <col min="1" max="1" width="1.53515625" customWidth="1"/>
    <col min="2" max="2" width="11.61328125" bestFit="1" customWidth="1"/>
    <col min="3" max="5" width="5.69140625" customWidth="1"/>
    <col min="6" max="6" width="4.84375" bestFit="1" customWidth="1"/>
    <col min="7" max="10" width="5.69140625" customWidth="1"/>
    <col min="12" max="12" width="10.3046875" bestFit="1" customWidth="1"/>
    <col min="13" max="20" width="5.69140625" customWidth="1"/>
  </cols>
  <sheetData>
    <row r="1" spans="1:23" x14ac:dyDescent="0.3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ht="16" thickBot="1" x14ac:dyDescent="0.4">
      <c r="A2" s="86"/>
      <c r="B2" s="106" t="s">
        <v>174</v>
      </c>
      <c r="C2" s="88" t="s">
        <v>173</v>
      </c>
      <c r="D2" s="89">
        <v>2019</v>
      </c>
      <c r="E2" s="89">
        <v>2020</v>
      </c>
      <c r="F2" s="89">
        <v>2021</v>
      </c>
      <c r="G2" s="89">
        <v>2022</v>
      </c>
      <c r="H2" s="89">
        <v>2023</v>
      </c>
      <c r="I2" s="89">
        <v>2024</v>
      </c>
      <c r="J2" s="89">
        <v>2025</v>
      </c>
      <c r="K2" s="86"/>
      <c r="L2" s="86"/>
      <c r="M2" s="86"/>
      <c r="N2" s="86"/>
      <c r="O2" s="111"/>
      <c r="P2" s="111"/>
      <c r="Q2" s="111"/>
      <c r="R2" s="111"/>
      <c r="S2" s="86"/>
      <c r="T2" s="86"/>
      <c r="U2" s="86"/>
      <c r="V2" s="86"/>
      <c r="W2" s="86"/>
    </row>
    <row r="3" spans="1:23" x14ac:dyDescent="0.35">
      <c r="A3" s="86">
        <v>1</v>
      </c>
      <c r="B3" s="90" t="s">
        <v>166</v>
      </c>
      <c r="C3" s="96">
        <f>SUM($D3:$J3)</f>
        <v>16</v>
      </c>
      <c r="D3" s="92"/>
      <c r="E3" s="93">
        <f>COUNTIFS(Record!$W$8:'Record'!$W$200,"01 2020")</f>
        <v>1</v>
      </c>
      <c r="F3" s="93">
        <f>COUNTIFS(Record!$W$8:'Record'!$W$200,"01 2021")</f>
        <v>1</v>
      </c>
      <c r="G3" s="93">
        <f>COUNTIFS(Record!$W$8:'Record'!$W$200,"01 2022")</f>
        <v>6</v>
      </c>
      <c r="H3" s="93">
        <f>COUNTIFS(Record!$W$8:'Record'!$W$200,"01 2023")</f>
        <v>8</v>
      </c>
      <c r="I3" s="93">
        <f>COUNTIFS(Record!$W$8:'Record'!$W$200,"01 2024")</f>
        <v>0</v>
      </c>
      <c r="J3" s="94">
        <f>COUNTIFS(Record!$W$8:'Record'!$W$200,"01 2025")</f>
        <v>0</v>
      </c>
      <c r="K3" s="86"/>
      <c r="L3" s="86" t="s">
        <v>22</v>
      </c>
      <c r="M3" s="86" t="s">
        <v>185</v>
      </c>
      <c r="N3" s="86"/>
      <c r="O3" s="97">
        <f>COUNTIFS(Record!$D$8:'Record'!$D$200,"Female",Record!$F$8:'Record'!$F$200,"Born",Record!$H$8:'Record'!$H$200,"Unknow")</f>
        <v>3</v>
      </c>
      <c r="P3" s="111"/>
      <c r="Q3" s="111" t="s">
        <v>186</v>
      </c>
      <c r="R3" s="97">
        <f>COUNTIFS(Record!$D$8:'Record'!$D$200,"male",Record!$F$8:'Record'!$F$200,"Born",Record!$H$8:'Record'!$H$200,"Unknow")</f>
        <v>0</v>
      </c>
      <c r="S3" s="86" t="s">
        <v>187</v>
      </c>
      <c r="T3" s="86">
        <f>O3+R3</f>
        <v>3</v>
      </c>
      <c r="U3" s="114">
        <f>T3/(T3+T5+T7)*100</f>
        <v>5.2631578947368416</v>
      </c>
      <c r="V3" s="86"/>
      <c r="W3" s="86"/>
    </row>
    <row r="4" spans="1:23" x14ac:dyDescent="0.35">
      <c r="A4" s="86">
        <v>2</v>
      </c>
      <c r="B4" s="95" t="s">
        <v>161</v>
      </c>
      <c r="C4" s="96">
        <f t="shared" ref="C4:C14" si="0">SUM($D4:$J4)</f>
        <v>2</v>
      </c>
      <c r="D4" s="96"/>
      <c r="E4" s="97">
        <f>COUNTIFS(Record!$W$8:'Record'!$W$200,"02 2020")</f>
        <v>0</v>
      </c>
      <c r="F4" s="97">
        <f>COUNTIFS(Record!$W$8:'Record'!$W$200,"02 2021")</f>
        <v>0</v>
      </c>
      <c r="G4" s="97">
        <f>COUNTIFS(Record!$W$8:'Record'!$W$200,"02 2022")</f>
        <v>2</v>
      </c>
      <c r="H4" s="97">
        <f>COUNTIFS(Record!$W$8:'Record'!$W$200,"02 2023")</f>
        <v>0</v>
      </c>
      <c r="I4" s="97">
        <f>COUNTIFS(Record!$W$8:'Record'!$W$200,"02 2024")</f>
        <v>0</v>
      </c>
      <c r="J4" s="98">
        <f>COUNTIFS(Record!$W$8:'Record'!$W$200,"02 2025")</f>
        <v>0</v>
      </c>
      <c r="K4" s="86"/>
      <c r="L4" s="86"/>
      <c r="M4" s="86"/>
      <c r="N4" s="86"/>
      <c r="O4" s="111"/>
      <c r="P4" s="111"/>
      <c r="Q4" s="111"/>
      <c r="R4" s="111"/>
      <c r="S4" s="86"/>
      <c r="T4" s="86"/>
      <c r="U4" s="86"/>
      <c r="V4" s="86"/>
      <c r="W4" s="86"/>
    </row>
    <row r="5" spans="1:23" x14ac:dyDescent="0.35">
      <c r="A5" s="86">
        <v>3</v>
      </c>
      <c r="B5" s="95" t="s">
        <v>162</v>
      </c>
      <c r="C5" s="96">
        <f t="shared" si="0"/>
        <v>7</v>
      </c>
      <c r="D5" s="96"/>
      <c r="E5" s="97">
        <f>COUNTIFS(Record!$W$8:'Record'!$W$200,"03 2020")</f>
        <v>1</v>
      </c>
      <c r="F5" s="97">
        <f>COUNTIFS(Record!$W$8:'Record'!$W$200,"03 2021")</f>
        <v>4</v>
      </c>
      <c r="G5" s="97">
        <f>COUNTIFS(Record!$W$8:'Record'!$W$200,"03 2022")</f>
        <v>1</v>
      </c>
      <c r="H5" s="97">
        <f>COUNTIFS(Record!$W$8:'Record'!$W$200,"03 2023")</f>
        <v>1</v>
      </c>
      <c r="I5" s="97">
        <f>COUNTIFS(Record!$W$8:'Record'!$W$200,"03 2024")</f>
        <v>0</v>
      </c>
      <c r="J5" s="98">
        <f>COUNTIFS(Record!$W$8:'Record'!$W$200,"03 2025")</f>
        <v>0</v>
      </c>
      <c r="K5" s="86"/>
      <c r="L5" s="86" t="s">
        <v>7</v>
      </c>
      <c r="M5" s="86" t="s">
        <v>185</v>
      </c>
      <c r="N5" s="86"/>
      <c r="O5" s="97">
        <f>COUNTIFS(Record!$D$8:'Record'!$D$200,"Female",Record!$F$8:'Record'!$F$200,"Born",Record!$H$8:'Record'!$H$200,"Au gus to")</f>
        <v>14</v>
      </c>
      <c r="P5" s="111"/>
      <c r="Q5" s="111" t="s">
        <v>186</v>
      </c>
      <c r="R5" s="97">
        <f>COUNTIFS(Record!$D$8:'Record'!$D$200,"male",Record!$F$8:'Record'!$F$200,"Born",Record!$H$8:'Record'!$H$200,"Au gus to")</f>
        <v>22</v>
      </c>
      <c r="S5" s="86" t="s">
        <v>187</v>
      </c>
      <c r="T5" s="86">
        <f>O5+R5</f>
        <v>36</v>
      </c>
      <c r="U5" s="114">
        <f>T5/(T5+T7+T3)*100</f>
        <v>63.157894736842103</v>
      </c>
      <c r="V5" s="86"/>
      <c r="W5" s="86"/>
    </row>
    <row r="6" spans="1:23" x14ac:dyDescent="0.35">
      <c r="A6" s="86">
        <v>4</v>
      </c>
      <c r="B6" s="95" t="s">
        <v>163</v>
      </c>
      <c r="C6" s="96">
        <f t="shared" si="0"/>
        <v>3</v>
      </c>
      <c r="D6" s="96"/>
      <c r="E6" s="97">
        <f>COUNTIFS(Record!$W$8:'Record'!$W$200,"04 2020")</f>
        <v>0</v>
      </c>
      <c r="F6" s="97">
        <f>COUNTIFS(Record!$W$8:'Record'!$W$200,"04 2021")</f>
        <v>0</v>
      </c>
      <c r="G6" s="97">
        <f>COUNTIFS(Record!$W$8:'Record'!$W$200,"04 2022")</f>
        <v>0</v>
      </c>
      <c r="H6" s="97">
        <f>COUNTIFS(Record!$W$8:'Record'!$W$200,"04 2023")</f>
        <v>3</v>
      </c>
      <c r="I6" s="97">
        <f>COUNTIFS(Record!$W$8:'Record'!$W$200,"04 2024")</f>
        <v>0</v>
      </c>
      <c r="J6" s="98">
        <f>COUNTIFS(Record!$W$8:'Record'!$W$200,"04 2025")</f>
        <v>0</v>
      </c>
      <c r="K6" s="86"/>
      <c r="L6" s="86"/>
      <c r="M6" s="86"/>
      <c r="N6" s="86"/>
      <c r="O6" s="111"/>
      <c r="P6" s="111"/>
      <c r="Q6" s="111"/>
      <c r="R6" s="111"/>
      <c r="S6" s="86"/>
      <c r="T6" s="86"/>
      <c r="U6" s="86"/>
      <c r="V6" s="86"/>
      <c r="W6" s="86"/>
    </row>
    <row r="7" spans="1:23" x14ac:dyDescent="0.35">
      <c r="A7" s="86">
        <v>5</v>
      </c>
      <c r="B7" s="95" t="s">
        <v>164</v>
      </c>
      <c r="C7" s="96">
        <f t="shared" si="0"/>
        <v>10</v>
      </c>
      <c r="D7" s="96"/>
      <c r="E7" s="97">
        <f>COUNTIFS(Record!$W$8:'Record'!$W$200,"05 2020")</f>
        <v>5</v>
      </c>
      <c r="F7" s="97">
        <f>COUNTIFS(Record!$W$8:'Record'!$W$200,"05 2021")</f>
        <v>4</v>
      </c>
      <c r="G7" s="97">
        <f>COUNTIFS(Record!$W$8:'Record'!$W$200,"05 2022")</f>
        <v>1</v>
      </c>
      <c r="H7" s="97">
        <f>COUNTIFS(Record!$W$8:'Record'!$W$200,"05 2023")</f>
        <v>0</v>
      </c>
      <c r="I7" s="97">
        <f>COUNTIFS(Record!$W$8:'Record'!$W$200,"05 2024")</f>
        <v>0</v>
      </c>
      <c r="J7" s="98">
        <f>COUNTIFS(Record!$W$8:'Record'!$W$200,"05 2025")</f>
        <v>0</v>
      </c>
      <c r="K7" s="86"/>
      <c r="L7" s="86" t="s">
        <v>34</v>
      </c>
      <c r="M7" s="86" t="s">
        <v>185</v>
      </c>
      <c r="N7" s="86"/>
      <c r="O7" s="97">
        <f>COUNTIFS(Record!$D$8:'Record'!$D$200,"Female",Record!$F$8:'Record'!$F$200,"Born",Record!$H$8:'Record'!$H$200,"jami")</f>
        <v>9</v>
      </c>
      <c r="P7" s="111"/>
      <c r="Q7" s="111" t="s">
        <v>186</v>
      </c>
      <c r="R7" s="97">
        <f>COUNTIFS(Record!$D$8:'Record'!$D$200,"male",Record!$F$8:'Record'!$F$200,"Born",Record!$H$8:'Record'!$H$200,"jami")</f>
        <v>9</v>
      </c>
      <c r="S7" s="86" t="s">
        <v>187</v>
      </c>
      <c r="T7" s="86">
        <f>O7+R7</f>
        <v>18</v>
      </c>
      <c r="U7" s="114">
        <f>T7/(T5+T7+T3)*100</f>
        <v>31.578947368421051</v>
      </c>
      <c r="V7" s="86"/>
      <c r="W7" s="86"/>
    </row>
    <row r="8" spans="1:23" x14ac:dyDescent="0.35">
      <c r="A8" s="86">
        <v>6</v>
      </c>
      <c r="B8" s="95" t="s">
        <v>165</v>
      </c>
      <c r="C8" s="96">
        <f t="shared" si="0"/>
        <v>9</v>
      </c>
      <c r="D8" s="96"/>
      <c r="E8" s="97">
        <f>COUNTIFS(Record!$W$8:'Record'!$W$200,"06 2020")</f>
        <v>0</v>
      </c>
      <c r="F8" s="97">
        <f>COUNTIFS(Record!$W$8:'Record'!$W$200,"06 2021")</f>
        <v>3</v>
      </c>
      <c r="G8" s="97">
        <f>COUNTIFS(Record!$W$8:'Record'!$W$200,"06 2022")</f>
        <v>2</v>
      </c>
      <c r="H8" s="97">
        <f>COUNTIFS(Record!$W$8:'Record'!$W$200,"06 2023")</f>
        <v>4</v>
      </c>
      <c r="I8" s="97">
        <f>COUNTIFS(Record!$W$8:'Record'!$W$200,"06 2024")</f>
        <v>0</v>
      </c>
      <c r="J8" s="98">
        <f>COUNTIFS(Record!$W$8:'Record'!$W$200,"06 2025")</f>
        <v>0</v>
      </c>
      <c r="K8" s="86"/>
      <c r="L8" s="97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x14ac:dyDescent="0.35">
      <c r="A9" s="86">
        <v>7</v>
      </c>
      <c r="B9" s="95" t="s">
        <v>167</v>
      </c>
      <c r="C9" s="96">
        <f t="shared" si="0"/>
        <v>4</v>
      </c>
      <c r="D9" s="96"/>
      <c r="E9" s="97">
        <f>COUNTIFS(Record!$W$8:'Record'!$W$200,"07 2020")</f>
        <v>2</v>
      </c>
      <c r="F9" s="97">
        <f>COUNTIFS(Record!$W$8:'Record'!$W$200,"07 2021")</f>
        <v>1</v>
      </c>
      <c r="G9" s="97">
        <f>COUNTIFS(Record!$W$8:'Record'!$W$200,"07 2022")</f>
        <v>1</v>
      </c>
      <c r="H9" s="97">
        <f>COUNTIFS(Record!$W$8:'Record'!$W$200,"07 2023")</f>
        <v>0</v>
      </c>
      <c r="I9" s="97">
        <f>COUNTIFS(Record!$W$8:'Record'!$W$200,"07 2024")</f>
        <v>0</v>
      </c>
      <c r="J9" s="98">
        <f>COUNTIFS(Record!$W$8:'Record'!$W$200,"07 2025")</f>
        <v>0</v>
      </c>
      <c r="K9" s="86"/>
      <c r="L9" s="97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x14ac:dyDescent="0.35">
      <c r="A10" s="86">
        <v>8</v>
      </c>
      <c r="B10" s="95" t="s">
        <v>168</v>
      </c>
      <c r="C10" s="96">
        <f t="shared" si="0"/>
        <v>1</v>
      </c>
      <c r="D10" s="96"/>
      <c r="E10" s="97">
        <f>COUNTIFS(Record!$W$8:'Record'!$W$200,"08 2020")</f>
        <v>0</v>
      </c>
      <c r="F10" s="97">
        <f>COUNTIFS(Record!$W$8:'Record'!$W$200,"08 2021")</f>
        <v>1</v>
      </c>
      <c r="G10" s="97">
        <f>COUNTIFS(Record!$W$8:'Record'!$W$200,"08 2022")</f>
        <v>0</v>
      </c>
      <c r="H10" s="97">
        <f>COUNTIFS(Record!$W$8:'Record'!$W$200,"08 2023")</f>
        <v>0</v>
      </c>
      <c r="I10" s="97">
        <f>COUNTIFS(Record!$W$8:'Record'!$W$200,"08 2024")</f>
        <v>0</v>
      </c>
      <c r="J10" s="98">
        <f>COUNTIFS(Record!$W$8:'Record'!$W$200,"08 2025")</f>
        <v>0</v>
      </c>
      <c r="K10" s="86"/>
      <c r="L10" s="97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x14ac:dyDescent="0.35">
      <c r="A11" s="86">
        <v>9</v>
      </c>
      <c r="B11" s="95" t="s">
        <v>169</v>
      </c>
      <c r="C11" s="96">
        <f t="shared" si="0"/>
        <v>3</v>
      </c>
      <c r="D11" s="96"/>
      <c r="E11" s="97">
        <f>COUNTIFS(Record!$W$8:'Record'!$W$200,"09 2020")</f>
        <v>3</v>
      </c>
      <c r="F11" s="97">
        <f>COUNTIFS(Record!$W$8:'Record'!$W$200,"09 2021")</f>
        <v>0</v>
      </c>
      <c r="G11" s="97">
        <f>COUNTIFS(Record!$W$8:'Record'!$W$200,"09 2022")</f>
        <v>0</v>
      </c>
      <c r="H11" s="97">
        <f>COUNTIFS(Record!$W$8:'Record'!$W$200,"09 2023")</f>
        <v>0</v>
      </c>
      <c r="I11" s="97">
        <f>COUNTIFS(Record!$W$8:'Record'!$W$200,"09 2024")</f>
        <v>0</v>
      </c>
      <c r="J11" s="98">
        <f>COUNTIFS(Record!$W$8:'Record'!$W$200,"09 2025")</f>
        <v>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x14ac:dyDescent="0.35">
      <c r="A12" s="86">
        <v>10</v>
      </c>
      <c r="B12" s="95" t="s">
        <v>170</v>
      </c>
      <c r="C12" s="96">
        <f t="shared" si="0"/>
        <v>10</v>
      </c>
      <c r="D12" s="96"/>
      <c r="E12" s="97">
        <f>COUNTIFS(Record!$W$8:'Record'!$W$200,"10 2020")</f>
        <v>8</v>
      </c>
      <c r="F12" s="97">
        <f>COUNTIFS(Record!$W$8:'Record'!$W$200,"10 2021")</f>
        <v>0</v>
      </c>
      <c r="G12" s="97">
        <f>COUNTIFS(Record!$W$8:'Record'!$W$200,"10 2022")</f>
        <v>2</v>
      </c>
      <c r="H12" s="97">
        <f>COUNTIFS(Record!$W$8:'Record'!$W$200,"10 2023")</f>
        <v>0</v>
      </c>
      <c r="I12" s="97">
        <f>COUNTIFS(Record!$W$8:'Record'!$W$200,"10 2024")</f>
        <v>0</v>
      </c>
      <c r="J12" s="98">
        <f>COUNTIFS(Record!$W$8:'Record'!$W$200,"10 2025")</f>
        <v>0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x14ac:dyDescent="0.35">
      <c r="A13" s="86">
        <v>11</v>
      </c>
      <c r="B13" s="95" t="s">
        <v>171</v>
      </c>
      <c r="C13" s="96">
        <f t="shared" si="0"/>
        <v>0</v>
      </c>
      <c r="D13" s="96"/>
      <c r="E13" s="97">
        <f>COUNTIFS(Record!$W$8:'Record'!$W$200,"11 2020")</f>
        <v>0</v>
      </c>
      <c r="F13" s="97">
        <f>COUNTIFS(Record!$W$8:'Record'!$W$200,"11 2021")</f>
        <v>0</v>
      </c>
      <c r="G13" s="97">
        <f>COUNTIFS(Record!$W$8:'Record'!$W$200,"11 2022")</f>
        <v>0</v>
      </c>
      <c r="H13" s="97">
        <f>COUNTIFS(Record!$W$8:'Record'!$W$200,"11 2023")</f>
        <v>0</v>
      </c>
      <c r="I13" s="97">
        <f>COUNTIFS(Record!$W$8:'Record'!$W$200,"11 2024")</f>
        <v>0</v>
      </c>
      <c r="J13" s="98">
        <f>COUNTIFS(Record!$W$8:'Record'!$W$200,"11 2025")</f>
        <v>0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16" thickBot="1" x14ac:dyDescent="0.4">
      <c r="A14" s="86">
        <v>12</v>
      </c>
      <c r="B14" s="99" t="s">
        <v>172</v>
      </c>
      <c r="C14" s="101">
        <f t="shared" si="0"/>
        <v>9</v>
      </c>
      <c r="D14" s="101">
        <f>COUNTIFS(Record!$W$8:'Record'!$W$200,"12 2019")</f>
        <v>7</v>
      </c>
      <c r="E14" s="102">
        <f>COUNTIFS(Record!$W$8:'Record'!$W$200,"12 2020")</f>
        <v>1</v>
      </c>
      <c r="F14" s="102">
        <f>COUNTIFS(Record!$W$8:'Record'!$W$200,"12 2021")</f>
        <v>1</v>
      </c>
      <c r="G14" s="102">
        <f>COUNTIFS(Record!$W$8:'Record'!$W$200,"12 2022")</f>
        <v>0</v>
      </c>
      <c r="H14" s="102">
        <f>COUNTIFS(Record!$W$8:'Record'!$W$200,"12 2023")</f>
        <v>0</v>
      </c>
      <c r="I14" s="102">
        <f>COUNTIFS(Record!$W$8:'Record'!$W$200,"12 2024")</f>
        <v>0</v>
      </c>
      <c r="J14" s="103">
        <f>COUNTIFS(Record!$W$8:'Record'!$W$200,"12 2025")</f>
        <v>0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16" thickBot="1" x14ac:dyDescent="0.4">
      <c r="A15" s="86"/>
      <c r="B15" s="104" t="s">
        <v>173</v>
      </c>
      <c r="C15" s="105">
        <f>SUM($D$15:$J$15)</f>
        <v>74</v>
      </c>
      <c r="D15" s="100">
        <f t="shared" ref="D15:H15" si="1">SUM(D3:D14)</f>
        <v>7</v>
      </c>
      <c r="E15" s="100">
        <f t="shared" si="1"/>
        <v>21</v>
      </c>
      <c r="F15" s="100">
        <f t="shared" si="1"/>
        <v>15</v>
      </c>
      <c r="G15" s="100">
        <f t="shared" si="1"/>
        <v>15</v>
      </c>
      <c r="H15" s="100">
        <f t="shared" si="1"/>
        <v>16</v>
      </c>
      <c r="I15" s="100"/>
      <c r="J15" s="100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x14ac:dyDescent="0.3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22" x14ac:dyDescent="0.3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ht="16" thickBot="1" x14ac:dyDescent="0.4">
      <c r="A18" s="86"/>
      <c r="B18" s="87" t="s">
        <v>177</v>
      </c>
      <c r="C18" s="88" t="s">
        <v>173</v>
      </c>
      <c r="D18" s="89">
        <v>2019</v>
      </c>
      <c r="E18" s="89">
        <v>2020</v>
      </c>
      <c r="F18" s="89">
        <v>2021</v>
      </c>
      <c r="G18" s="89">
        <v>2022</v>
      </c>
      <c r="H18" s="89">
        <v>2023</v>
      </c>
      <c r="I18" s="89">
        <v>2024</v>
      </c>
      <c r="J18" s="89">
        <v>2025</v>
      </c>
      <c r="K18" s="86"/>
      <c r="L18" s="87" t="s">
        <v>178</v>
      </c>
      <c r="M18" s="88" t="s">
        <v>173</v>
      </c>
      <c r="N18" s="89">
        <v>2019</v>
      </c>
      <c r="O18" s="89">
        <v>2020</v>
      </c>
      <c r="P18" s="89">
        <v>2021</v>
      </c>
      <c r="Q18" s="89">
        <v>2022</v>
      </c>
      <c r="R18" s="89">
        <v>2023</v>
      </c>
      <c r="S18" s="89">
        <v>2024</v>
      </c>
      <c r="T18" s="89">
        <v>2025</v>
      </c>
      <c r="U18" s="86"/>
      <c r="V18" s="86"/>
    </row>
    <row r="19" spans="1:22" x14ac:dyDescent="0.35">
      <c r="A19" s="86"/>
      <c r="B19" s="90" t="s">
        <v>166</v>
      </c>
      <c r="C19" s="96">
        <f>SUM($D19:$J19)</f>
        <v>9</v>
      </c>
      <c r="D19" s="92"/>
      <c r="E19" s="93">
        <f>COUNTIFS(Record!$D$8:'Record'!$D$200,"Female",Record!$F$8:'Record'!$F$200,"Born",Record!$W$8:'Record'!$W$200,"01 2020")</f>
        <v>1</v>
      </c>
      <c r="F19" s="93">
        <f>COUNTIFS(Record!$D$8:'Record'!$D$200,"Female",Record!$F$8:'Record'!$F$200,"Born",Record!$W$8:'Record'!$W$200,"01 2021")</f>
        <v>0</v>
      </c>
      <c r="G19" s="93">
        <f>COUNTIFS(Record!$D$8:'Record'!$D$200,"Female",Record!$F$8:'Record'!$F$200,"Born",Record!$W$8:'Record'!$W$200,"01 2022")</f>
        <v>3</v>
      </c>
      <c r="H19" s="93">
        <f>COUNTIFS(Record!$D$8:'Record'!$D$200,"Female",Record!$F$8:'Record'!$F$200,"Born",Record!$W$8:'Record'!$W$200,"01 2023")</f>
        <v>5</v>
      </c>
      <c r="I19" s="93">
        <f>COUNTIFS(Record!$D$8:'Record'!$D$200,"Female",Record!$F$8:'Record'!$F$200,"Born",Record!$W$8:'Record'!$W$200,"01 2024")</f>
        <v>0</v>
      </c>
      <c r="J19" s="94">
        <f>COUNTIFS(Record!$D$8:'Record'!$D$200,"Female",Record!$F$8:'Record'!$F$200,"Born",Record!$W$8:'Record'!$W$200,"01 2025")</f>
        <v>0</v>
      </c>
      <c r="K19" s="86"/>
      <c r="L19" s="90" t="s">
        <v>166</v>
      </c>
      <c r="M19" s="91">
        <f>SUM(N19:T19)</f>
        <v>7</v>
      </c>
      <c r="N19" s="92"/>
      <c r="O19" s="93">
        <f>COUNTIFS(Record!$D$8:'Record'!$D$200,"male",Record!$F$8:'Record'!$F$200,"Born",Record!$W$8:'Record'!$W$200,"01 2020")</f>
        <v>0</v>
      </c>
      <c r="P19" s="93">
        <f>COUNTIFS(Record!$D$8:'Record'!$D$200,"male",Record!$F$8:'Record'!$F$200,"Born",Record!$W$8:'Record'!$W$200,"01 2021")</f>
        <v>1</v>
      </c>
      <c r="Q19" s="93">
        <f>COUNTIFS(Record!$D$8:'Record'!$D$200,"male",Record!$F$8:'Record'!$F$200,"Born",Record!$W$8:'Record'!$W$200,"01 2022")</f>
        <v>3</v>
      </c>
      <c r="R19" s="93">
        <f>COUNTIFS(Record!$D$8:'Record'!$D$200,"male",Record!$F$8:'Record'!$F$200,"Born",Record!$W$8:'Record'!$W$200,"01 2023")</f>
        <v>3</v>
      </c>
      <c r="S19" s="93">
        <f>COUNTIFS(Record!$D$8:'Record'!$D$200,"male",Record!$F$8:'Record'!$F$200,"Born",Record!$W$8:'Record'!$W$200,"01 2024")</f>
        <v>0</v>
      </c>
      <c r="T19" s="94">
        <f>COUNTIFS(Record!$D$8:'Record'!$D$200,"male",Record!$F$8:'Record'!$F$200,"Born",Record!$W$8:'Record'!$W$200,"01 2025")</f>
        <v>0</v>
      </c>
      <c r="U19" s="86"/>
      <c r="V19" s="86"/>
    </row>
    <row r="20" spans="1:22" x14ac:dyDescent="0.35">
      <c r="A20" s="86"/>
      <c r="B20" s="95" t="s">
        <v>161</v>
      </c>
      <c r="C20" s="96">
        <f t="shared" ref="C20:C30" si="2">SUM($D20:$J20)</f>
        <v>2</v>
      </c>
      <c r="D20" s="96"/>
      <c r="E20" s="97">
        <f>COUNTIFS(Record!$D$8:'Record'!$D$200,"Female",Record!$F$8:'Record'!$F$200,"Born",Record!$W$8:'Record'!$W$200,"02 2020")</f>
        <v>0</v>
      </c>
      <c r="F20" s="97">
        <f>COUNTIFS(Record!$D$8:'Record'!$D$200,"Female",Record!$F$8:'Record'!$F$200,"Born",Record!$W$8:'Record'!$W$200,"02 2021")</f>
        <v>0</v>
      </c>
      <c r="G20" s="97">
        <f>COUNTIFS(Record!$D$8:'Record'!$D$200,"Female",Record!$F$8:'Record'!$F$200,"Born",Record!$W$8:'Record'!$W$200,"02 2022")</f>
        <v>2</v>
      </c>
      <c r="H20" s="97">
        <f>COUNTIFS(Record!$D$8:'Record'!$D$200,"Female",Record!$F$8:'Record'!$F$200,"Born",Record!$W$8:'Record'!$W$200,"02 2023")</f>
        <v>0</v>
      </c>
      <c r="I20" s="97">
        <f>COUNTIFS(Record!$D$8:'Record'!$D$200,"Female",Record!$F$8:'Record'!$F$200,"Born",Record!$W$8:'Record'!$W$200,"02 2024")</f>
        <v>0</v>
      </c>
      <c r="J20" s="98">
        <f>COUNTIFS(Record!$D$8:'Record'!$D$200,"Female",Record!$F$8:'Record'!$F$200,"Born",Record!$W$8:'Record'!$W$200,"02 2025")</f>
        <v>0</v>
      </c>
      <c r="K20" s="86"/>
      <c r="L20" s="95" t="s">
        <v>161</v>
      </c>
      <c r="M20" s="91">
        <f>SUM(N20:T20)</f>
        <v>0</v>
      </c>
      <c r="N20" s="96"/>
      <c r="O20" s="97">
        <f>COUNTIFS(Record!$D$8:'Record'!$D$200,"male",Record!$F$8:'Record'!$F$200,"Born",Record!$W$8:'Record'!$W$200,"02 2020")</f>
        <v>0</v>
      </c>
      <c r="P20" s="97">
        <f>COUNTIFS(Record!$D$8:'Record'!$D$200,"male",Record!$F$8:'Record'!$F$200,"Born",Record!$W$8:'Record'!$W$200,"02 2021")</f>
        <v>0</v>
      </c>
      <c r="Q20" s="97">
        <f>COUNTIFS(Record!$D$8:'Record'!$D$200,"male",Record!$F$8:'Record'!$F$200,"Born",Record!$W$8:'Record'!$W$200,"02 2022")</f>
        <v>0</v>
      </c>
      <c r="R20" s="97">
        <f>COUNTIFS(Record!$D$8:'Record'!$D$200,"male",Record!$F$8:'Record'!$F$200,"Born",Record!$W$8:'Record'!$W$200,"02 2023")</f>
        <v>0</v>
      </c>
      <c r="S20" s="97">
        <f>COUNTIFS(Record!$D$8:'Record'!$D$200,"male",Record!$F$8:'Record'!$F$200,"Born",Record!$W$8:'Record'!$W$200,"02 2024")</f>
        <v>0</v>
      </c>
      <c r="T20" s="98">
        <f>COUNTIFS(Record!$D$8:'Record'!$D$200,"male",Record!$F$8:'Record'!$F$200,"Born",Record!$W$8:'Record'!$W$200,"02 2025")</f>
        <v>0</v>
      </c>
      <c r="U20" s="86"/>
      <c r="V20" s="86"/>
    </row>
    <row r="21" spans="1:22" x14ac:dyDescent="0.35">
      <c r="A21" s="86"/>
      <c r="B21" s="95" t="s">
        <v>162</v>
      </c>
      <c r="C21" s="96">
        <f t="shared" si="2"/>
        <v>3</v>
      </c>
      <c r="D21" s="96"/>
      <c r="E21" s="97">
        <f>COUNTIFS(Record!$D$8:'Record'!$D$200,"Female",Record!$F$8:'Record'!$F$200,"Born",Record!$W$8:'Record'!$W$200,"03 2020")</f>
        <v>1</v>
      </c>
      <c r="F21" s="97">
        <f>COUNTIFS(Record!$D$8:'Record'!$D$200,"Female",Record!$F$8:'Record'!$F$200,"Born",Record!$W$8:'Record'!$W$200,"03 2021")</f>
        <v>0</v>
      </c>
      <c r="G21" s="97">
        <f>COUNTIFS(Record!$D$8:'Record'!$D$200,"Female",Record!$F$8:'Record'!$F$200,"Born",Record!$W$8:'Record'!$W$200,"03 2022")</f>
        <v>1</v>
      </c>
      <c r="H21" s="97">
        <f>COUNTIFS(Record!$D$8:'Record'!$D$200,"Female",Record!$F$8:'Record'!$F$200,"Born",Record!$W$8:'Record'!$W$200,"03 2023")</f>
        <v>1</v>
      </c>
      <c r="I21" s="97">
        <f>COUNTIFS(Record!$D$8:'Record'!$D$200,"Female",Record!$F$8:'Record'!$F$200,"Born",Record!$W$8:'Record'!$W$200,"03 2024")</f>
        <v>0</v>
      </c>
      <c r="J21" s="98">
        <f>COUNTIFS(Record!$D$8:'Record'!$D$200,"Female",Record!$F$8:'Record'!$F$200,"Born",Record!$W$8:'Record'!$W$200,"03 2025")</f>
        <v>0</v>
      </c>
      <c r="K21" s="86"/>
      <c r="L21" s="95" t="s">
        <v>162</v>
      </c>
      <c r="M21" s="91">
        <f t="shared" ref="M21:M30" si="3">SUM(N21:T21)</f>
        <v>4</v>
      </c>
      <c r="N21" s="96"/>
      <c r="O21" s="97">
        <f>COUNTIFS(Record!$D$8:'Record'!$D$200,"male",Record!$F$8:'Record'!$F$200,"Born",Record!$W$8:'Record'!$W$200,"03 2020")</f>
        <v>0</v>
      </c>
      <c r="P21" s="97">
        <f>COUNTIFS(Record!$D$8:'Record'!$D$200,"male",Record!$F$8:'Record'!$F$200,"Born",Record!$W$8:'Record'!$W$200,"03 2021")</f>
        <v>4</v>
      </c>
      <c r="Q21" s="97">
        <f>COUNTIFS(Record!$D$8:'Record'!$D$200,"male",Record!$F$8:'Record'!$F$200,"Born",Record!$W$8:'Record'!$W$200,"03 2022")</f>
        <v>0</v>
      </c>
      <c r="R21" s="97">
        <f>COUNTIFS(Record!$D$8:'Record'!$D$200,"male",Record!$F$8:'Record'!$F$200,"Born",Record!$W$8:'Record'!$W$200,"03 2023")</f>
        <v>0</v>
      </c>
      <c r="S21" s="97">
        <f>COUNTIFS(Record!$D$8:'Record'!$D$200,"male",Record!$F$8:'Record'!$F$200,"Born",Record!$W$8:'Record'!$W$200,"03 2024")</f>
        <v>0</v>
      </c>
      <c r="T21" s="98">
        <f>COUNTIFS(Record!$D$8:'Record'!$D$200,"male",Record!$F$8:'Record'!$F$200,"Born",Record!$W$8:'Record'!$W$200,"03 2025")</f>
        <v>0</v>
      </c>
      <c r="U21" s="86"/>
      <c r="V21" s="86"/>
    </row>
    <row r="22" spans="1:22" x14ac:dyDescent="0.35">
      <c r="A22" s="86"/>
      <c r="B22" s="95" t="s">
        <v>163</v>
      </c>
      <c r="C22" s="96">
        <f t="shared" si="2"/>
        <v>1</v>
      </c>
      <c r="D22" s="96"/>
      <c r="E22" s="97">
        <f>COUNTIFS(Record!$D$8:'Record'!$D$200,"Female",Record!$F$8:'Record'!$F$200,"Born",Record!$W$8:'Record'!$W$200,"04 2020")</f>
        <v>0</v>
      </c>
      <c r="F22" s="97">
        <f>COUNTIFS(Record!$D$8:'Record'!$D$200,"Female",Record!$F$8:'Record'!$F$200,"Born",Record!$W$8:'Record'!$W$200,"04 2021")</f>
        <v>0</v>
      </c>
      <c r="G22" s="97">
        <f>COUNTIFS(Record!$D$8:'Record'!$D$200,"Female",Record!$F$8:'Record'!$F$200,"Born",Record!$W$8:'Record'!$W$200,"04 2022")</f>
        <v>0</v>
      </c>
      <c r="H22" s="97">
        <f>COUNTIFS(Record!$D$8:'Record'!$D$200,"Female",Record!$F$8:'Record'!$F$200,"Born",Record!$W$8:'Record'!$W$200,"04 2023")</f>
        <v>1</v>
      </c>
      <c r="I22" s="97">
        <f>COUNTIFS(Record!$D$8:'Record'!$D$200,"Female",Record!$F$8:'Record'!$F$200,"Born",Record!$W$8:'Record'!$W$200,"04 2024")</f>
        <v>0</v>
      </c>
      <c r="J22" s="98">
        <f>COUNTIFS(Record!$D$8:'Record'!$D$200,"Female",Record!$F$8:'Record'!$F$200,"Born",Record!$W$8:'Record'!$W$200,"04 2025")</f>
        <v>0</v>
      </c>
      <c r="K22" s="86"/>
      <c r="L22" s="95" t="s">
        <v>163</v>
      </c>
      <c r="M22" s="91">
        <f t="shared" si="3"/>
        <v>2</v>
      </c>
      <c r="N22" s="96"/>
      <c r="O22" s="97">
        <f>COUNTIFS(Record!$D$8:'Record'!$D$200,"male",Record!$F$8:'Record'!$F$200,"Born",Record!$W$8:'Record'!$W$200,"04 2020")</f>
        <v>0</v>
      </c>
      <c r="P22" s="97">
        <f>COUNTIFS(Record!$D$8:'Record'!$D$200,"male",Record!$F$8:'Record'!$F$200,"Born",Record!$W$8:'Record'!$W$200,"04 2021")</f>
        <v>0</v>
      </c>
      <c r="Q22" s="97">
        <f>COUNTIFS(Record!$D$8:'Record'!$D$200,"male",Record!$F$8:'Record'!$F$200,"Born",Record!$W$8:'Record'!$W$200,"04 2022")</f>
        <v>0</v>
      </c>
      <c r="R22" s="97">
        <f>COUNTIFS(Record!$D$8:'Record'!$D$200,"male",Record!$F$8:'Record'!$F$200,"Born",Record!$W$8:'Record'!$W$200,"04 2023")</f>
        <v>2</v>
      </c>
      <c r="S22" s="97">
        <f>COUNTIFS(Record!$D$8:'Record'!$D$200,"male",Record!$F$8:'Record'!$F$200,"Born",Record!$W$8:'Record'!$W$200,"04 2024")</f>
        <v>0</v>
      </c>
      <c r="T22" s="98">
        <f>COUNTIFS(Record!$D$8:'Record'!$D$200,"male",Record!$F$8:'Record'!$F$200,"Born",Record!$W$8:'Record'!$W$200,"04 2025")</f>
        <v>0</v>
      </c>
      <c r="U22" s="86"/>
      <c r="V22" s="86"/>
    </row>
    <row r="23" spans="1:22" x14ac:dyDescent="0.35">
      <c r="A23" s="86"/>
      <c r="B23" s="95" t="s">
        <v>164</v>
      </c>
      <c r="C23" s="96">
        <f t="shared" si="2"/>
        <v>3</v>
      </c>
      <c r="D23" s="96"/>
      <c r="E23" s="97">
        <f>COUNTIFS(Record!$D$8:'Record'!$D$200,"Female",Record!$F$8:'Record'!$F$200,"Born",Record!$W$8:'Record'!$W$200,"05 2020")</f>
        <v>2</v>
      </c>
      <c r="F23" s="97">
        <f>COUNTIFS(Record!$D$8:'Record'!$D$200,"Female",Record!$F$8:'Record'!$F$200,"Born",Record!$W$8:'Record'!$W$200,"05 2021")</f>
        <v>1</v>
      </c>
      <c r="G23" s="97">
        <f>COUNTIFS(Record!$D$8:'Record'!$D$200,"Female",Record!$F$8:'Record'!$F$200,"Born",Record!$W$8:'Record'!$W$200,"05 2022")</f>
        <v>0</v>
      </c>
      <c r="H23" s="97">
        <f>COUNTIFS(Record!$D$8:'Record'!$D$200,"Female",Record!$F$8:'Record'!$F$200,"Born",Record!$W$8:'Record'!$W$200,"05 2023")</f>
        <v>0</v>
      </c>
      <c r="I23" s="97">
        <f>COUNTIFS(Record!$D$8:'Record'!$D$200,"Female",Record!$F$8:'Record'!$F$200,"Born",Record!$W$8:'Record'!$W$200,"05 2024")</f>
        <v>0</v>
      </c>
      <c r="J23" s="98">
        <f>COUNTIFS(Record!$D$8:'Record'!$D$200,"Female",Record!$F$8:'Record'!$F$200,"Born",Record!$W$8:'Record'!$W$200,"05 2025")</f>
        <v>0</v>
      </c>
      <c r="K23" s="86"/>
      <c r="L23" s="95" t="s">
        <v>164</v>
      </c>
      <c r="M23" s="91">
        <f t="shared" si="3"/>
        <v>2</v>
      </c>
      <c r="N23" s="96"/>
      <c r="O23" s="97">
        <f>COUNTIFS(Record!$D$8:'Record'!$D$200,"male",Record!$F$8:'Record'!$F$200,"Born",Record!$W$8:'Record'!$W$200,"05 2020")</f>
        <v>0</v>
      </c>
      <c r="P23" s="97">
        <f>COUNTIFS(Record!$D$8:'Record'!$D$200,"male",Record!$F$8:'Record'!$F$200,"Born",Record!$W$8:'Record'!$W$200,"05 2021")</f>
        <v>1</v>
      </c>
      <c r="Q23" s="97">
        <f>COUNTIFS(Record!$D$8:'Record'!$D$200,"male",Record!$F$8:'Record'!$F$200,"Born",Record!$W$8:'Record'!$W$200,"05 2022")</f>
        <v>1</v>
      </c>
      <c r="R23" s="97">
        <f>COUNTIFS(Record!$D$8:'Record'!$D$200,"male",Record!$F$8:'Record'!$F$200,"Born",Record!$W$8:'Record'!$W$200,"05 2023")</f>
        <v>0</v>
      </c>
      <c r="S23" s="97">
        <f>COUNTIFS(Record!$D$8:'Record'!$D$200,"male",Record!$F$8:'Record'!$F$200,"Born",Record!$W$8:'Record'!$W$200,"05 2024")</f>
        <v>0</v>
      </c>
      <c r="T23" s="98">
        <f>COUNTIFS(Record!$D$8:'Record'!$D$200,"male",Record!$F$8:'Record'!$F$200,"Born",Record!$W$8:'Record'!$W$200,"05 2025")</f>
        <v>0</v>
      </c>
      <c r="U23" s="86"/>
      <c r="V23" s="86"/>
    </row>
    <row r="24" spans="1:22" x14ac:dyDescent="0.35">
      <c r="A24" s="86"/>
      <c r="B24" s="95" t="s">
        <v>165</v>
      </c>
      <c r="C24" s="96">
        <f t="shared" si="2"/>
        <v>4</v>
      </c>
      <c r="D24" s="96"/>
      <c r="E24" s="97">
        <f>COUNTIFS(Record!$D$8:'Record'!$D$200,"Female",Record!$F$8:'Record'!$F$200,"Born",Record!$W$8:'Record'!$W$200,"06 2020")</f>
        <v>0</v>
      </c>
      <c r="F24" s="97">
        <f>COUNTIFS(Record!$D$8:'Record'!$D$200,"Female",Record!$F$8:'Record'!$F$200,"Born",Record!$W$8:'Record'!$W$200,"06 2021")</f>
        <v>1</v>
      </c>
      <c r="G24" s="97">
        <f>COUNTIFS(Record!$D$8:'Record'!$D$200,"Female",Record!$F$8:'Record'!$F$200,"Born",Record!$W$8:'Record'!$W$200,"06 2022")</f>
        <v>1</v>
      </c>
      <c r="H24" s="97">
        <f>COUNTIFS(Record!$D$8:'Record'!$D$200,"Female",Record!$F$8:'Record'!$F$200,"Born",Record!$W$8:'Record'!$W$200,"06 2023")</f>
        <v>2</v>
      </c>
      <c r="I24" s="97">
        <f>COUNTIFS(Record!$D$8:'Record'!$D$200,"Female",Record!$F$8:'Record'!$F$200,"Born",Record!$W$8:'Record'!$W$200,"06 2024")</f>
        <v>0</v>
      </c>
      <c r="J24" s="98">
        <f>COUNTIFS(Record!$D$8:'Record'!$D$200,"Female",Record!$F$8:'Record'!$F$200,"Born",Record!$W$8:'Record'!$W$200,"06 2025")</f>
        <v>0</v>
      </c>
      <c r="K24" s="86"/>
      <c r="L24" s="95" t="s">
        <v>165</v>
      </c>
      <c r="M24" s="91">
        <f t="shared" si="3"/>
        <v>5</v>
      </c>
      <c r="N24" s="96"/>
      <c r="O24" s="97">
        <f>COUNTIFS(Record!$D$8:'Record'!$D$200,"male",Record!$F$8:'Record'!$F$200,"Born",Record!$W$8:'Record'!$W$200,"06 2020")</f>
        <v>0</v>
      </c>
      <c r="P24" s="97">
        <f>COUNTIFS(Record!$D$8:'Record'!$D$200,"male",Record!$F$8:'Record'!$F$200,"Born",Record!$W$8:'Record'!$W$200,"06 2021")</f>
        <v>2</v>
      </c>
      <c r="Q24" s="97">
        <f>COUNTIFS(Record!$D$8:'Record'!$D$200,"male",Record!$F$8:'Record'!$F$200,"Born",Record!$W$8:'Record'!$W$200,"06 2022")</f>
        <v>1</v>
      </c>
      <c r="R24" s="97">
        <f>COUNTIFS(Record!$D$8:'Record'!$D$200,"male",Record!$F$8:'Record'!$F$200,"Born",Record!$W$8:'Record'!$W$200,"06 2023")</f>
        <v>2</v>
      </c>
      <c r="S24" s="97">
        <f>COUNTIFS(Record!$D$8:'Record'!$D$200,"male",Record!$F$8:'Record'!$F$200,"Born",Record!$W$8:'Record'!$W$200,"06 2024")</f>
        <v>0</v>
      </c>
      <c r="T24" s="98">
        <f>COUNTIFS(Record!$D$8:'Record'!$D$200,"male",Record!$F$8:'Record'!$F$200,"Born",Record!$W$8:'Record'!$W$200,"06 2025")</f>
        <v>0</v>
      </c>
      <c r="U24" s="86"/>
      <c r="V24" s="86"/>
    </row>
    <row r="25" spans="1:22" x14ac:dyDescent="0.35">
      <c r="A25" s="86"/>
      <c r="B25" s="95" t="s">
        <v>167</v>
      </c>
      <c r="C25" s="96">
        <f t="shared" si="2"/>
        <v>1</v>
      </c>
      <c r="D25" s="96"/>
      <c r="E25" s="97">
        <f>COUNTIFS(Record!$D$8:'Record'!$D$200,"Female",Record!$F$8:'Record'!$F$200,"Born",Record!$W$8:'Record'!$W$200,"07 2020")</f>
        <v>0</v>
      </c>
      <c r="F25" s="97">
        <f>COUNTIFS(Record!$D$8:'Record'!$D$200,"Female",Record!$F$8:'Record'!$F$200,"Born",Record!$W$8:'Record'!$W$200,"07 2021")</f>
        <v>0</v>
      </c>
      <c r="G25" s="97">
        <f>COUNTIFS(Record!$D$8:'Record'!$D$200,"Female",Record!$F$8:'Record'!$F$200,"Born",Record!$W$8:'Record'!$W$200,"07 2022")</f>
        <v>1</v>
      </c>
      <c r="H25" s="97">
        <f>COUNTIFS(Record!$D$8:'Record'!$D$200,"Female",Record!$F$8:'Record'!$F$200,"Born",Record!$W$8:'Record'!$W$200,"07 2023")</f>
        <v>0</v>
      </c>
      <c r="I25" s="97">
        <f>COUNTIFS(Record!$D$8:'Record'!$D$200,"Female",Record!$F$8:'Record'!$F$200,"Born",Record!$W$8:'Record'!$W$200,"07 2024")</f>
        <v>0</v>
      </c>
      <c r="J25" s="98">
        <f>COUNTIFS(Record!$D$8:'Record'!$D$200,"Female",Record!$F$8:'Record'!$F$200,"Born",Record!$W$8:'Record'!$W$200,"07 2025")</f>
        <v>0</v>
      </c>
      <c r="K25" s="86"/>
      <c r="L25" s="95" t="s">
        <v>167</v>
      </c>
      <c r="M25" s="91">
        <f t="shared" si="3"/>
        <v>3</v>
      </c>
      <c r="N25" s="96"/>
      <c r="O25" s="97">
        <f>COUNTIFS(Record!$D$8:'Record'!$D$200,"male",Record!$F$8:'Record'!$F$200,"Born",Record!$W$8:'Record'!$W$200,"07 2020")</f>
        <v>2</v>
      </c>
      <c r="P25" s="97">
        <f>COUNTIFS(Record!$D$8:'Record'!$D$200,"male",Record!$F$8:'Record'!$F$200,"Born",Record!$W$8:'Record'!$W$200,"07 2021")</f>
        <v>1</v>
      </c>
      <c r="Q25" s="97">
        <f>COUNTIFS(Record!$D$8:'Record'!$D$200,"male",Record!$F$8:'Record'!$F$200,"Born",Record!$W$8:'Record'!$W$200,"07 2022")</f>
        <v>0</v>
      </c>
      <c r="R25" s="97">
        <f>COUNTIFS(Record!$D$8:'Record'!$D$200,"male",Record!$F$8:'Record'!$F$200,"Born",Record!$W$8:'Record'!$W$200,"07 2023")</f>
        <v>0</v>
      </c>
      <c r="S25" s="97">
        <f>COUNTIFS(Record!$D$8:'Record'!$D$200,"male",Record!$F$8:'Record'!$F$200,"Born",Record!$W$8:'Record'!$W$200,"07 2024")</f>
        <v>0</v>
      </c>
      <c r="T25" s="98">
        <f>COUNTIFS(Record!$D$8:'Record'!$D$200,"male",Record!$F$8:'Record'!$F$200,"Born",Record!$W$8:'Record'!$W$200,"07 2025")</f>
        <v>0</v>
      </c>
      <c r="U25" s="86"/>
      <c r="V25" s="86"/>
    </row>
    <row r="26" spans="1:22" x14ac:dyDescent="0.35">
      <c r="A26" s="86"/>
      <c r="B26" s="95" t="s">
        <v>168</v>
      </c>
      <c r="C26" s="96">
        <f t="shared" si="2"/>
        <v>1</v>
      </c>
      <c r="D26" s="96"/>
      <c r="E26" s="97">
        <f>COUNTIFS(Record!$D$8:'Record'!$D$200,"Female",Record!$F$8:'Record'!$F$200,"Born",Record!$W$8:'Record'!$W$200,"08 2020")</f>
        <v>0</v>
      </c>
      <c r="F26" s="97">
        <f>COUNTIFS(Record!$D$8:'Record'!$D$200,"Female",Record!$F$8:'Record'!$F$200,"Born",Record!$W$8:'Record'!$W$200,"08 2021")</f>
        <v>1</v>
      </c>
      <c r="G26" s="97">
        <f>COUNTIFS(Record!$D$8:'Record'!$D$200,"Female",Record!$F$8:'Record'!$F$200,"Born",Record!$W$8:'Record'!$W$200,"08 2022")</f>
        <v>0</v>
      </c>
      <c r="H26" s="97">
        <f>COUNTIFS(Record!$D$8:'Record'!$D$200,"Female",Record!$F$8:'Record'!$F$200,"Born",Record!$W$8:'Record'!$W$200,"08 2023")</f>
        <v>0</v>
      </c>
      <c r="I26" s="97">
        <f>COUNTIFS(Record!$D$8:'Record'!$D$200,"Female",Record!$F$8:'Record'!$F$200,"Born",Record!$W$8:'Record'!$W$200,"08 2024")</f>
        <v>0</v>
      </c>
      <c r="J26" s="98">
        <f>COUNTIFS(Record!$D$8:'Record'!$D$200,"Female",Record!$F$8:'Record'!$F$200,"Born",Record!$W$8:'Record'!$W$200,"08 2025")</f>
        <v>0</v>
      </c>
      <c r="K26" s="86"/>
      <c r="L26" s="95" t="s">
        <v>168</v>
      </c>
      <c r="M26" s="91">
        <f t="shared" si="3"/>
        <v>0</v>
      </c>
      <c r="N26" s="96"/>
      <c r="O26" s="97">
        <f>COUNTIFS(Record!$D$8:'Record'!$D$200,"male",Record!$F$8:'Record'!$F$200,"Born",Record!$W$8:'Record'!$W$200,"08 2020")</f>
        <v>0</v>
      </c>
      <c r="P26" s="97">
        <f>COUNTIFS(Record!$D$8:'Record'!$D$200,"male",Record!$F$8:'Record'!$F$200,"Born",Record!$W$8:'Record'!$W$200,"08 2021")</f>
        <v>0</v>
      </c>
      <c r="Q26" s="97">
        <f>COUNTIFS(Record!$D$8:'Record'!$D$200,"male",Record!$F$8:'Record'!$F$200,"Born",Record!$W$8:'Record'!$W$200,"08 2022")</f>
        <v>0</v>
      </c>
      <c r="R26" s="97">
        <f>COUNTIFS(Record!$D$8:'Record'!$D$200,"male",Record!$F$8:'Record'!$F$200,"Born",Record!$W$8:'Record'!$W$200,"08 2023")</f>
        <v>0</v>
      </c>
      <c r="S26" s="97">
        <f>COUNTIFS(Record!$D$8:'Record'!$D$200,"male",Record!$F$8:'Record'!$F$200,"Born",Record!$W$8:'Record'!$W$200,"08 2024")</f>
        <v>0</v>
      </c>
      <c r="T26" s="98">
        <f>COUNTIFS(Record!$D$8:'Record'!$D$200,"male",Record!$F$8:'Record'!$F$200,"Born",Record!$W$8:'Record'!$W$200,"08 2025")</f>
        <v>0</v>
      </c>
      <c r="U26" s="86"/>
      <c r="V26" s="86"/>
    </row>
    <row r="27" spans="1:22" x14ac:dyDescent="0.35">
      <c r="A27" s="86"/>
      <c r="B27" s="95" t="s">
        <v>169</v>
      </c>
      <c r="C27" s="96">
        <f t="shared" si="2"/>
        <v>0</v>
      </c>
      <c r="D27" s="96"/>
      <c r="E27" s="97">
        <f>COUNTIFS(Record!$D$8:'Record'!$D$200,"Female",Record!$F$8:'Record'!$F$200,"Born",Record!$W$8:'Record'!$W$200,"09 2020")</f>
        <v>0</v>
      </c>
      <c r="F27" s="97">
        <f>COUNTIFS(Record!$D$8:'Record'!$D$200,"Female",Record!$F$8:'Record'!$F$200,"Born",Record!$W$8:'Record'!$W$200,"09 2021")</f>
        <v>0</v>
      </c>
      <c r="G27" s="97">
        <f>COUNTIFS(Record!$D$8:'Record'!$D$200,"Female",Record!$F$8:'Record'!$F$200,"Born",Record!$W$8:'Record'!$W$200,"09 2022")</f>
        <v>0</v>
      </c>
      <c r="H27" s="97">
        <f>COUNTIFS(Record!$D$8:'Record'!$D$200,"Female",Record!$F$8:'Record'!$F$200,"Born",Record!$W$8:'Record'!$W$200,"09 2023")</f>
        <v>0</v>
      </c>
      <c r="I27" s="97">
        <f>COUNTIFS(Record!$D$8:'Record'!$D$200,"Female",Record!$F$8:'Record'!$F$200,"Born",Record!$W$8:'Record'!$W$200,"09 2024")</f>
        <v>0</v>
      </c>
      <c r="J27" s="98">
        <f>COUNTIFS(Record!$D$8:'Record'!$D$200,"Female",Record!$F$8:'Record'!$F$200,"Born",Record!$W$8:'Record'!$W$200,"09 2025")</f>
        <v>0</v>
      </c>
      <c r="K27" s="86"/>
      <c r="L27" s="95" t="s">
        <v>169</v>
      </c>
      <c r="M27" s="91">
        <f t="shared" si="3"/>
        <v>3</v>
      </c>
      <c r="N27" s="96"/>
      <c r="O27" s="97">
        <f>COUNTIFS(Record!$D$8:'Record'!$D$200,"male",Record!$F$8:'Record'!$F$200,"Born",Record!$W$8:'Record'!$W$200,"09 2020")</f>
        <v>3</v>
      </c>
      <c r="P27" s="97">
        <f>COUNTIFS(Record!$D$8:'Record'!$D$200,"male",Record!$F$8:'Record'!$F$200,"Born",Record!$W$8:'Record'!$W$200,"09 2021")</f>
        <v>0</v>
      </c>
      <c r="Q27" s="97">
        <f>COUNTIFS(Record!$D$8:'Record'!$D$200,"male",Record!$F$8:'Record'!$F$200,"Born",Record!$W$8:'Record'!$W$200,"09 2022")</f>
        <v>0</v>
      </c>
      <c r="R27" s="97">
        <f>COUNTIFS(Record!$D$8:'Record'!$D$200,"male",Record!$F$8:'Record'!$F$200,"Born",Record!$W$8:'Record'!$W$200,"09 2023")</f>
        <v>0</v>
      </c>
      <c r="S27" s="97">
        <f>COUNTIFS(Record!$D$8:'Record'!$D$200,"male",Record!$F$8:'Record'!$F$200,"Born",Record!$W$8:'Record'!$W$200,"09 2024")</f>
        <v>0</v>
      </c>
      <c r="T27" s="98">
        <f>COUNTIFS(Record!$D$8:'Record'!$D$200,"male",Record!$F$8:'Record'!$F$200,"Born",Record!$W$8:'Record'!$W$200,"09 2025")</f>
        <v>0</v>
      </c>
      <c r="U27" s="86"/>
      <c r="V27" s="86"/>
    </row>
    <row r="28" spans="1:22" x14ac:dyDescent="0.35">
      <c r="A28" s="86"/>
      <c r="B28" s="95" t="s">
        <v>170</v>
      </c>
      <c r="C28" s="96">
        <f t="shared" si="2"/>
        <v>2</v>
      </c>
      <c r="D28" s="96"/>
      <c r="E28" s="97">
        <f>COUNTIFS(Record!$D$8:'Record'!$D$200,"Female",Record!$F$8:'Record'!$F$200,"Born",Record!$W$8:'Record'!$W$200,"10 2020")</f>
        <v>2</v>
      </c>
      <c r="F28" s="97">
        <f>COUNTIFS(Record!$D$8:'Record'!$D$200,"Female",Record!$F$8:'Record'!$F$200,"Born",Record!$W$8:'Record'!$W$200,"10 2021")</f>
        <v>0</v>
      </c>
      <c r="G28" s="97">
        <f>COUNTIFS(Record!$D$8:'Record'!$D$200,"Female",Record!$F$8:'Record'!$F$200,"Born",Record!$W$8:'Record'!$W$200,"10 2022")</f>
        <v>0</v>
      </c>
      <c r="H28" s="97">
        <f>COUNTIFS(Record!$D$8:'Record'!$D$200,"Female",Record!$F$8:'Record'!$F$200,"Born",Record!$W$8:'Record'!$W$200,"10 2023")</f>
        <v>0</v>
      </c>
      <c r="I28" s="97">
        <f>COUNTIFS(Record!$D$8:'Record'!$D$200,"Female",Record!$F$8:'Record'!$F$200,"Born",Record!$W$8:'Record'!$W$200,"10 2024")</f>
        <v>0</v>
      </c>
      <c r="J28" s="98">
        <f>COUNTIFS(Record!$D$8:'Record'!$D$200,"Female",Record!$F$8:'Record'!$F$200,"Born",Record!$W$8:'Record'!$W$200,"10 2025")</f>
        <v>0</v>
      </c>
      <c r="K28" s="86"/>
      <c r="L28" s="95" t="s">
        <v>170</v>
      </c>
      <c r="M28" s="91">
        <f t="shared" si="3"/>
        <v>3</v>
      </c>
      <c r="N28" s="96"/>
      <c r="O28" s="97">
        <f>COUNTIFS(Record!$D$8:'Record'!$D$200,"male",Record!$F$8:'Record'!$F$200,"Born",Record!$W$8:'Record'!$W$200,"10 2020")</f>
        <v>1</v>
      </c>
      <c r="P28" s="97">
        <f>COUNTIFS(Record!$D$8:'Record'!$D$200,"male",Record!$F$8:'Record'!$F$200,"Born",Record!$W$8:'Record'!$W$200,"10 2021")</f>
        <v>0</v>
      </c>
      <c r="Q28" s="97">
        <f>COUNTIFS(Record!$D$8:'Record'!$D$200,"male",Record!$F$8:'Record'!$F$200,"Born",Record!$W$8:'Record'!$W$200,"10 2022")</f>
        <v>2</v>
      </c>
      <c r="R28" s="97">
        <f>COUNTIFS(Record!$D$8:'Record'!$D$200,"male",Record!$F$8:'Record'!$F$200,"Born",Record!$W$8:'Record'!$W$200,"10 2023")</f>
        <v>0</v>
      </c>
      <c r="S28" s="97">
        <f>COUNTIFS(Record!$D$8:'Record'!$D$200,"male",Record!$F$8:'Record'!$F$200,"Born",Record!$W$8:'Record'!$W$200,"10 2024")</f>
        <v>0</v>
      </c>
      <c r="T28" s="98">
        <f>COUNTIFS(Record!$D$8:'Record'!$D$200,"male",Record!$F$8:'Record'!$F$200,"Born",Record!$W$8:'Record'!$W$200,"10 2025")</f>
        <v>0</v>
      </c>
      <c r="U28" s="86"/>
      <c r="V28" s="86"/>
    </row>
    <row r="29" spans="1:22" x14ac:dyDescent="0.35">
      <c r="A29" s="86"/>
      <c r="B29" s="95" t="s">
        <v>171</v>
      </c>
      <c r="C29" s="96">
        <f t="shared" si="2"/>
        <v>0</v>
      </c>
      <c r="D29" s="96"/>
      <c r="E29" s="97">
        <f>COUNTIFS(Record!$D$8:'Record'!$D$200,"Female",Record!$F$8:'Record'!$F$200,"Born",Record!$W$8:'Record'!$W$200,"11 2020")</f>
        <v>0</v>
      </c>
      <c r="F29" s="97">
        <f>COUNTIFS(Record!$D$8:'Record'!$D$200,"Female",Record!$F$8:'Record'!$F$200,"Born",Record!$W$8:'Record'!$W$200,"11 2021")</f>
        <v>0</v>
      </c>
      <c r="G29" s="97">
        <f>COUNTIFS(Record!$D$8:'Record'!$D$200,"Female",Record!$F$8:'Record'!$F$200,"Born",Record!$W$8:'Record'!$W$200,"11 2022")</f>
        <v>0</v>
      </c>
      <c r="H29" s="97">
        <f>COUNTIFS(Record!$D$8:'Record'!$D$200,"Female",Record!$F$8:'Record'!$F$200,"Born",Record!$W$8:'Record'!$W$200,"11 2023")</f>
        <v>0</v>
      </c>
      <c r="I29" s="97">
        <f>COUNTIFS(Record!$D$8:'Record'!$D$200,"Female",Record!$F$8:'Record'!$F$200,"Born",Record!$W$8:'Record'!$W$200,"11 2024")</f>
        <v>0</v>
      </c>
      <c r="J29" s="98">
        <f>COUNTIFS(Record!$D$8:'Record'!$D$200,"Female",Record!$F$8:'Record'!$F$200,"Born",Record!$W$8:'Record'!$W$200,"11 2025")</f>
        <v>0</v>
      </c>
      <c r="K29" s="86"/>
      <c r="L29" s="95" t="s">
        <v>171</v>
      </c>
      <c r="M29" s="91">
        <f t="shared" si="3"/>
        <v>0</v>
      </c>
      <c r="N29" s="96"/>
      <c r="O29" s="97">
        <f>COUNTIFS(Record!$D$8:'Record'!$D$200,"male",Record!$F$8:'Record'!$F$200,"Born",Record!$W$8:'Record'!$W$200,"11 2020")</f>
        <v>0</v>
      </c>
      <c r="P29" s="97">
        <f>COUNTIFS(Record!$D$8:'Record'!$D$200,"male",Record!$F$8:'Record'!$F$200,"Born",Record!$W$8:'Record'!$W$200,"11 2021")</f>
        <v>0</v>
      </c>
      <c r="Q29" s="97">
        <f>COUNTIFS(Record!$D$8:'Record'!$D$200,"male",Record!$F$8:'Record'!$F$200,"Born",Record!$W$8:'Record'!$W$200,"11 2022")</f>
        <v>0</v>
      </c>
      <c r="R29" s="97">
        <f>COUNTIFS(Record!$D$8:'Record'!$D$200,"male",Record!$F$8:'Record'!$F$200,"Born",Record!$W$8:'Record'!$W$200,"11 2023")</f>
        <v>0</v>
      </c>
      <c r="S29" s="97">
        <f>COUNTIFS(Record!$D$8:'Record'!$D$200,"male",Record!$F$8:'Record'!$F$200,"Born",Record!$W$8:'Record'!$W$200,"11 2024")</f>
        <v>0</v>
      </c>
      <c r="T29" s="98">
        <f>COUNTIFS(Record!$D$8:'Record'!$D$200,"male",Record!$F$8:'Record'!$F$200,"Born",Record!$W$8:'Record'!$W$200,"11 2025")</f>
        <v>0</v>
      </c>
      <c r="U29" s="86"/>
      <c r="V29" s="86"/>
    </row>
    <row r="30" spans="1:22" ht="16" thickBot="1" x14ac:dyDescent="0.4">
      <c r="A30" s="86"/>
      <c r="B30" s="99" t="s">
        <v>172</v>
      </c>
      <c r="C30" s="101">
        <f t="shared" si="2"/>
        <v>0</v>
      </c>
      <c r="D30" s="101">
        <f>COUNTIFS(Record!$D$8:'Record'!$D$200,"Female",Record!$F$8:'Record'!$F$200,"Born",Record!$W$8:'Record'!$W$200,"12 2019")</f>
        <v>0</v>
      </c>
      <c r="E30" s="102">
        <f>COUNTIFS(Record!$D$8:'Record'!$D$200,"Female",Record!$F$8:'Record'!$F$200,"Born",Record!$W$8:'Record'!$W$200,"12 2020")</f>
        <v>0</v>
      </c>
      <c r="F30" s="102">
        <f>COUNTIFS(Record!$D$8:'Record'!$D$200,"Female",Record!$F$8:'Record'!$F$200,"Born",Record!$W$8:'Record'!$W$200,"12 2021")</f>
        <v>0</v>
      </c>
      <c r="G30" s="102">
        <f>COUNTIFS(Record!$D$8:'Record'!$D$200,"Female",Record!$F$8:'Record'!$F$200,"Born",Record!$W$8:'Record'!$W$200,"12 2022")</f>
        <v>0</v>
      </c>
      <c r="H30" s="102">
        <f>COUNTIFS(Record!$D$8:'Record'!$D$200,"Female",Record!$F$8:'Record'!$F$200,"Born",Record!$W$8:'Record'!$W$200,"12 2023")</f>
        <v>0</v>
      </c>
      <c r="I30" s="102">
        <f>COUNTIFS(Record!$D$8:'Record'!$D$200,"Female",Record!$F$8:'Record'!$F$200,"Born",Record!$W$8:'Record'!$W$200,"12 2024")</f>
        <v>0</v>
      </c>
      <c r="J30" s="103">
        <f>COUNTIFS(Record!$D$8:'Record'!$D$200,"Female",Record!$F$8:'Record'!$F$200,"Born",Record!$W$8:'Record'!$W$200,"12 2025")</f>
        <v>0</v>
      </c>
      <c r="K30" s="86"/>
      <c r="L30" s="99" t="s">
        <v>172</v>
      </c>
      <c r="M30" s="91">
        <f t="shared" si="3"/>
        <v>2</v>
      </c>
      <c r="N30" s="101">
        <f>COUNTIFS(Record!$D$8:'Record'!$D$200,"male",Record!$F$8:'Record'!$F$200,"Born",Record!$W$8:'Record'!$W$200,"12 2019")</f>
        <v>0</v>
      </c>
      <c r="O30" s="102">
        <f>COUNTIFS(Record!$D$8:'Record'!$D$200,"male",Record!$F$8:'Record'!$F$200,"Born",Record!$W$8:'Record'!$W$200,"12 2020")</f>
        <v>1</v>
      </c>
      <c r="P30" s="102">
        <f>COUNTIFS(Record!$D$8:'Record'!$D$200,"male",Record!$F$8:'Record'!$F$200,"Born",Record!$W$8:'Record'!$W$200,"12 2021")</f>
        <v>1</v>
      </c>
      <c r="Q30" s="102">
        <f>COUNTIFS(Record!$D$8:'Record'!$D$200,"male",Record!$F$8:'Record'!$F$200,"Born",Record!$W$8:'Record'!$W$200,"12 2022")</f>
        <v>0</v>
      </c>
      <c r="R30" s="102">
        <f>COUNTIFS(Record!$D$8:'Record'!$D$200,"male",Record!$F$8:'Record'!$F$200,"Born",Record!$W$8:'Record'!$W$200,"12 2023")</f>
        <v>0</v>
      </c>
      <c r="S30" s="102">
        <f>COUNTIFS(Record!$D$8:'Record'!$D$200,"male",Record!$F$8:'Record'!$F$200,"Born",Record!$W$8:'Record'!$W$200,"12 2024")</f>
        <v>0</v>
      </c>
      <c r="T30" s="103">
        <f>COUNTIFS(Record!$D$8:'Record'!$D$200,"male",Record!$F$8:'Record'!$F$200,"Born",Record!$W$8:'Record'!$W$200,"12 2025")</f>
        <v>0</v>
      </c>
      <c r="U30" s="86"/>
      <c r="V30" s="86"/>
    </row>
    <row r="31" spans="1:22" ht="16" thickBot="1" x14ac:dyDescent="0.4">
      <c r="A31" s="86"/>
      <c r="B31" s="104" t="s">
        <v>173</v>
      </c>
      <c r="C31" s="109">
        <f>SUM(C19:C30)</f>
        <v>26</v>
      </c>
      <c r="D31" s="104"/>
      <c r="E31" s="104">
        <f>SUM(E19:E30)</f>
        <v>6</v>
      </c>
      <c r="F31" s="104">
        <f t="shared" ref="F31:J31" si="4">SUM(F19:F30)</f>
        <v>3</v>
      </c>
      <c r="G31" s="104">
        <f t="shared" si="4"/>
        <v>8</v>
      </c>
      <c r="H31" s="104">
        <f t="shared" si="4"/>
        <v>9</v>
      </c>
      <c r="I31" s="104">
        <f t="shared" si="4"/>
        <v>0</v>
      </c>
      <c r="J31" s="104">
        <f t="shared" si="4"/>
        <v>0</v>
      </c>
      <c r="K31" s="86"/>
      <c r="L31" s="104" t="s">
        <v>173</v>
      </c>
      <c r="M31" s="109">
        <f>SUM(M19:M30)</f>
        <v>31</v>
      </c>
      <c r="N31" s="105">
        <f t="shared" ref="N31:T31" si="5">SUM(N19:N30)</f>
        <v>0</v>
      </c>
      <c r="O31" s="105">
        <f t="shared" si="5"/>
        <v>7</v>
      </c>
      <c r="P31" s="105">
        <f t="shared" si="5"/>
        <v>10</v>
      </c>
      <c r="Q31" s="105">
        <f t="shared" si="5"/>
        <v>7</v>
      </c>
      <c r="R31" s="105">
        <f t="shared" si="5"/>
        <v>7</v>
      </c>
      <c r="S31" s="105">
        <f t="shared" si="5"/>
        <v>0</v>
      </c>
      <c r="T31" s="105">
        <f t="shared" si="5"/>
        <v>0</v>
      </c>
      <c r="U31" s="86"/>
      <c r="V31" s="86"/>
    </row>
    <row r="32" spans="1:22" x14ac:dyDescent="0.3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x14ac:dyDescent="0.3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ht="16" thickBot="1" x14ac:dyDescent="0.4">
      <c r="A34" s="86"/>
      <c r="B34" s="87" t="s">
        <v>179</v>
      </c>
      <c r="C34" s="88" t="s">
        <v>173</v>
      </c>
      <c r="D34" s="89">
        <v>2019</v>
      </c>
      <c r="E34" s="89">
        <v>2020</v>
      </c>
      <c r="F34" s="89">
        <v>2021</v>
      </c>
      <c r="G34" s="89">
        <v>2022</v>
      </c>
      <c r="H34" s="89">
        <v>2023</v>
      </c>
      <c r="I34" s="89">
        <v>2024</v>
      </c>
      <c r="J34" s="89">
        <v>2025</v>
      </c>
      <c r="K34" s="86"/>
      <c r="L34" s="87" t="s">
        <v>180</v>
      </c>
      <c r="M34" s="88" t="s">
        <v>173</v>
      </c>
      <c r="N34" s="89">
        <v>2019</v>
      </c>
      <c r="O34" s="89">
        <v>2020</v>
      </c>
      <c r="P34" s="89">
        <v>2021</v>
      </c>
      <c r="Q34" s="89">
        <v>2022</v>
      </c>
      <c r="R34" s="89">
        <v>2023</v>
      </c>
      <c r="S34" s="89">
        <v>2024</v>
      </c>
      <c r="T34" s="89">
        <v>2025</v>
      </c>
      <c r="U34" s="86"/>
      <c r="V34" s="86"/>
    </row>
    <row r="35" spans="1:22" x14ac:dyDescent="0.35">
      <c r="A35" s="86"/>
      <c r="B35" s="90" t="s">
        <v>166</v>
      </c>
      <c r="C35" s="91">
        <f>SUM($D35:$J35)</f>
        <v>0</v>
      </c>
      <c r="D35" s="92"/>
      <c r="E35" s="93">
        <f>COUNTIFS(Record!$D$8:'Record'!$D$200,"Female",Record!$F$8:'Record'!$F$200,"bought",Record!$W$8:'Record'!$W$200,"01 2020")</f>
        <v>0</v>
      </c>
      <c r="F35" s="93">
        <f>COUNTIFS(Record!$D$8:'Record'!$D$200,"Female",Record!$F$8:'Record'!$F$200,"bought",Record!$W$8:'Record'!$W$200,"01 2021")</f>
        <v>0</v>
      </c>
      <c r="G35" s="93">
        <f>COUNTIFS(Record!$D$8:'Record'!$D$200,"Female",Record!$F$8:'Record'!$F$200,"bought",Record!$W$8:'Record'!$W$200,"01 2022")</f>
        <v>0</v>
      </c>
      <c r="H35" s="93">
        <f>COUNTIFS(Record!$D$8:'Record'!$D$200,"Female",Record!$F$8:'Record'!$F$200,"bought",Record!$W$8:'Record'!$W$200,"01 2023")</f>
        <v>0</v>
      </c>
      <c r="I35" s="93">
        <f>COUNTIFS(Record!$D$8:'Record'!$D$200,"Female",Record!$F$8:'Record'!$F$200,"bought",Record!$W$8:'Record'!$W$200,"01 2024")</f>
        <v>0</v>
      </c>
      <c r="J35" s="94">
        <f>COUNTIFS(Record!$D$8:'Record'!$D$200,"Female",Record!$F$8:'Record'!$F$200,"bought",Record!$W$8:'Record'!$W$200,"01 2025")</f>
        <v>0</v>
      </c>
      <c r="K35" s="86"/>
      <c r="L35" s="90" t="s">
        <v>166</v>
      </c>
      <c r="M35" s="91">
        <f>SUM(N35:T35)</f>
        <v>0</v>
      </c>
      <c r="N35" s="92"/>
      <c r="O35" s="93">
        <f>COUNTIFS(Record!$D$8:'Record'!$D$200,"male",Record!$F$8:'Record'!$F$200,"bought",Record!$W$8:'Record'!$W$200,"01 2020")</f>
        <v>0</v>
      </c>
      <c r="P35" s="93">
        <f>COUNTIFS(Record!$D$8:'Record'!$D$200,"male",Record!$F$8:'Record'!$F$200,"bought",Record!$W$8:'Record'!$W$200,"01 2021")</f>
        <v>0</v>
      </c>
      <c r="Q35" s="93">
        <f>COUNTIFS(Record!$D$8:'Record'!$D$200,"male",Record!$F$8:'Record'!$F$200,"bought",Record!$W$8:'Record'!$W$200,"01 2022")</f>
        <v>0</v>
      </c>
      <c r="R35" s="93">
        <f>COUNTIFS(Record!$D$8:'Record'!$D$200,"male",Record!$F$8:'Record'!$F$200,"bought",Record!$W$8:'Record'!$W$200,"01 2023")</f>
        <v>0</v>
      </c>
      <c r="S35" s="93">
        <f>COUNTIFS(Record!$D$8:'Record'!$D$200,"male",Record!$F$8:'Record'!$F$200,"bought",Record!$W$8:'Record'!$W$200,"01 2024")</f>
        <v>0</v>
      </c>
      <c r="T35" s="94">
        <f>COUNTIFS(Record!$D$8:'Record'!$D$200,"male",Record!$F$8:'Record'!$F$200,"bought",Record!$W$8:'Record'!$W$200,"01 2025")</f>
        <v>0</v>
      </c>
      <c r="U35" s="86"/>
      <c r="V35" s="86"/>
    </row>
    <row r="36" spans="1:22" x14ac:dyDescent="0.35">
      <c r="A36" s="86"/>
      <c r="B36" s="95" t="s">
        <v>161</v>
      </c>
      <c r="C36" s="91">
        <f t="shared" ref="C36:C46" si="6">SUM($D36:$J36)</f>
        <v>0</v>
      </c>
      <c r="D36" s="96"/>
      <c r="E36" s="97">
        <f>COUNTIFS(Record!$D$8:'Record'!$D$200,"Female",Record!$F$8:'Record'!$F$200,"bought",Record!$W$8:'Record'!$W$200,"02 2020")</f>
        <v>0</v>
      </c>
      <c r="F36" s="97">
        <f>COUNTIFS(Record!$D$8:'Record'!$D$200,"Female",Record!$F$8:'Record'!$F$200,"bought",Record!$W$8:'Record'!$W$200,"02 2021")</f>
        <v>0</v>
      </c>
      <c r="G36" s="97">
        <f>COUNTIFS(Record!$D$8:'Record'!$D$200,"Female",Record!$F$8:'Record'!$F$200,"bought",Record!$W$8:'Record'!$W$200,"02 2022")</f>
        <v>0</v>
      </c>
      <c r="H36" s="97">
        <f>COUNTIFS(Record!$D$8:'Record'!$D$200,"Female",Record!$F$8:'Record'!$F$200,"bought",Record!$W$8:'Record'!$W$200,"02 2023")</f>
        <v>0</v>
      </c>
      <c r="I36" s="97">
        <f>COUNTIFS(Record!$D$8:'Record'!$D$200,"Female",Record!$F$8:'Record'!$F$200,"bought",Record!$W$8:'Record'!$W$200,"02 2024")</f>
        <v>0</v>
      </c>
      <c r="J36" s="98">
        <f>COUNTIFS(Record!$D$8:'Record'!$D$200,"Female",Record!$F$8:'Record'!$F$200,"bought",Record!$W$8:'Record'!$W$200,"02 2025")</f>
        <v>0</v>
      </c>
      <c r="K36" s="86"/>
      <c r="L36" s="95" t="s">
        <v>161</v>
      </c>
      <c r="M36" s="91">
        <f t="shared" ref="M36:M46" si="7">SUM(N36:T36)</f>
        <v>0</v>
      </c>
      <c r="N36" s="96"/>
      <c r="O36" s="97">
        <f>COUNTIFS(Record!$D$8:'Record'!$D$200,"male",Record!$F$8:'Record'!$F$200,"bought",Record!$W$8:'Record'!$W$200,"02 2020")</f>
        <v>0</v>
      </c>
      <c r="P36" s="97">
        <f>COUNTIFS(Record!$D$8:'Record'!$D$200,"male",Record!$F$8:'Record'!$F$200,"bought",Record!$W$8:'Record'!$W$200,"02 2021")</f>
        <v>0</v>
      </c>
      <c r="Q36" s="97">
        <f>COUNTIFS(Record!$D$8:'Record'!$D$200,"male",Record!$F$8:'Record'!$F$200,"bought",Record!$W$8:'Record'!$W$200,"02 2022")</f>
        <v>0</v>
      </c>
      <c r="R36" s="97">
        <f>COUNTIFS(Record!$D$8:'Record'!$D$200,"male",Record!$F$8:'Record'!$F$200,"bought",Record!$W$8:'Record'!$W$200,"02 2023")</f>
        <v>0</v>
      </c>
      <c r="S36" s="97">
        <f>COUNTIFS(Record!$D$8:'Record'!$D$200,"male",Record!$F$8:'Record'!$F$200,"bought",Record!$W$8:'Record'!$W$200,"02 2024")</f>
        <v>0</v>
      </c>
      <c r="T36" s="98">
        <f>COUNTIFS(Record!$D$8:'Record'!$D$200,"male",Record!$F$8:'Record'!$F$200,"bought",Record!$W$8:'Record'!$W$200,"02 2025")</f>
        <v>0</v>
      </c>
      <c r="U36" s="86"/>
      <c r="V36" s="86"/>
    </row>
    <row r="37" spans="1:22" x14ac:dyDescent="0.35">
      <c r="A37" s="86"/>
      <c r="B37" s="95" t="s">
        <v>162</v>
      </c>
      <c r="C37" s="91">
        <f t="shared" si="6"/>
        <v>0</v>
      </c>
      <c r="D37" s="96"/>
      <c r="E37" s="97">
        <f>COUNTIFS(Record!$D$8:'Record'!$D$200,"Female",Record!$F$8:'Record'!$F$200,"bought",Record!$W$8:'Record'!$W$200,"03 2020")</f>
        <v>0</v>
      </c>
      <c r="F37" s="97">
        <f>COUNTIFS(Record!$D$8:'Record'!$D$200,"Female",Record!$F$8:'Record'!$F$200,"bought",Record!$W$8:'Record'!$W$200,"03 2021")</f>
        <v>0</v>
      </c>
      <c r="G37" s="97">
        <f>COUNTIFS(Record!$D$8:'Record'!$D$200,"Female",Record!$F$8:'Record'!$F$200,"bought",Record!$W$8:'Record'!$W$200,"03 2022")</f>
        <v>0</v>
      </c>
      <c r="H37" s="97">
        <f>COUNTIFS(Record!$D$8:'Record'!$D$200,"Female",Record!$F$8:'Record'!$F$200,"bought",Record!$W$8:'Record'!$W$200,"03 2023")</f>
        <v>0</v>
      </c>
      <c r="I37" s="97">
        <f>COUNTIFS(Record!$D$8:'Record'!$D$200,"Female",Record!$F$8:'Record'!$F$200,"bought",Record!$W$8:'Record'!$W$200,"03 2024")</f>
        <v>0</v>
      </c>
      <c r="J37" s="98">
        <f>COUNTIFS(Record!$D$8:'Record'!$D$200,"Female",Record!$F$8:'Record'!$F$200,"bought",Record!$W$8:'Record'!$W$200,"03 2025")</f>
        <v>0</v>
      </c>
      <c r="K37" s="86"/>
      <c r="L37" s="95" t="s">
        <v>162</v>
      </c>
      <c r="M37" s="91">
        <f t="shared" si="7"/>
        <v>0</v>
      </c>
      <c r="N37" s="96"/>
      <c r="O37" s="97">
        <f>COUNTIFS(Record!$D$8:'Record'!$D$200,"male",Record!$F$8:'Record'!$F$200,"bought",Record!$W$8:'Record'!$W$200,"03 2020")</f>
        <v>0</v>
      </c>
      <c r="P37" s="97">
        <f>COUNTIFS(Record!$D$8:'Record'!$D$200,"male",Record!$F$8:'Record'!$F$200,"bought",Record!$W$8:'Record'!$W$200,"03 2021")</f>
        <v>0</v>
      </c>
      <c r="Q37" s="97">
        <f>COUNTIFS(Record!$D$8:'Record'!$D$200,"male",Record!$F$8:'Record'!$F$200,"bought",Record!$W$8:'Record'!$W$200,"03 2022")</f>
        <v>0</v>
      </c>
      <c r="R37" s="97">
        <f>COUNTIFS(Record!$D$8:'Record'!$D$200,"male",Record!$F$8:'Record'!$F$200,"bought",Record!$W$8:'Record'!$W$200,"03 2023")</f>
        <v>0</v>
      </c>
      <c r="S37" s="97">
        <f>COUNTIFS(Record!$D$8:'Record'!$D$200,"male",Record!$F$8:'Record'!$F$200,"bought",Record!$W$8:'Record'!$W$200,"03 2024")</f>
        <v>0</v>
      </c>
      <c r="T37" s="98">
        <f>COUNTIFS(Record!$D$8:'Record'!$D$200,"male",Record!$F$8:'Record'!$F$200,"bought",Record!$W$8:'Record'!$W$200,"03 2025")</f>
        <v>0</v>
      </c>
      <c r="U37" s="86"/>
      <c r="V37" s="86"/>
    </row>
    <row r="38" spans="1:22" x14ac:dyDescent="0.35">
      <c r="A38" s="86"/>
      <c r="B38" s="95" t="s">
        <v>163</v>
      </c>
      <c r="C38" s="91">
        <f t="shared" si="6"/>
        <v>0</v>
      </c>
      <c r="D38" s="96"/>
      <c r="E38" s="97">
        <f>COUNTIFS(Record!$D$8:'Record'!$D$200,"Female",Record!$F$8:'Record'!$F$200,"bought",Record!$W$8:'Record'!$W$200,"04 2020")</f>
        <v>0</v>
      </c>
      <c r="F38" s="97">
        <f>COUNTIFS(Record!$D$8:'Record'!$D$200,"Female",Record!$F$8:'Record'!$F$200,"bought",Record!$W$8:'Record'!$W$200,"04 2021")</f>
        <v>0</v>
      </c>
      <c r="G38" s="97">
        <f>COUNTIFS(Record!$D$8:'Record'!$D$200,"Female",Record!$F$8:'Record'!$F$200,"bought",Record!$W$8:'Record'!$W$200,"04 2022")</f>
        <v>0</v>
      </c>
      <c r="H38" s="97">
        <f>COUNTIFS(Record!$D$8:'Record'!$D$200,"Female",Record!$F$8:'Record'!$F$200,"bought",Record!$W$8:'Record'!$W$200,"04 2023")</f>
        <v>0</v>
      </c>
      <c r="I38" s="97">
        <f>COUNTIFS(Record!$D$8:'Record'!$D$200,"Female",Record!$F$8:'Record'!$F$200,"bought",Record!$W$8:'Record'!$W$200,"04 2024")</f>
        <v>0</v>
      </c>
      <c r="J38" s="98">
        <f>COUNTIFS(Record!$D$8:'Record'!$D$200,"Female",Record!$F$8:'Record'!$F$200,"bought",Record!$W$8:'Record'!$W$200,"04 2025")</f>
        <v>0</v>
      </c>
      <c r="K38" s="86"/>
      <c r="L38" s="95" t="s">
        <v>163</v>
      </c>
      <c r="M38" s="91">
        <f t="shared" si="7"/>
        <v>0</v>
      </c>
      <c r="N38" s="96"/>
      <c r="O38" s="97">
        <f>COUNTIFS(Record!$D$8:'Record'!$D$200,"male",Record!$F$8:'Record'!$F$200,"bought",Record!$W$8:'Record'!$W$200,"04 2020")</f>
        <v>0</v>
      </c>
      <c r="P38" s="97">
        <f>COUNTIFS(Record!$D$8:'Record'!$D$200,"male",Record!$F$8:'Record'!$F$200,"bought",Record!$W$8:'Record'!$W$200,"04 2021")</f>
        <v>0</v>
      </c>
      <c r="Q38" s="97">
        <f>COUNTIFS(Record!$D$8:'Record'!$D$200,"male",Record!$F$8:'Record'!$F$200,"bought",Record!$W$8:'Record'!$W$200,"04 2022")</f>
        <v>0</v>
      </c>
      <c r="R38" s="97">
        <f>COUNTIFS(Record!$D$8:'Record'!$D$200,"male",Record!$F$8:'Record'!$F$200,"bought",Record!$W$8:'Record'!$W$200,"04 2023")</f>
        <v>0</v>
      </c>
      <c r="S38" s="97">
        <f>COUNTIFS(Record!$D$8:'Record'!$D$200,"male",Record!$F$8:'Record'!$F$200,"bought",Record!$W$8:'Record'!$W$200,"04 2024")</f>
        <v>0</v>
      </c>
      <c r="T38" s="98">
        <f>COUNTIFS(Record!$D$8:'Record'!$D$200,"male",Record!$F$8:'Record'!$F$200,"bought",Record!$W$8:'Record'!$W$200,"04 2025")</f>
        <v>0</v>
      </c>
      <c r="U38" s="86"/>
      <c r="V38" s="86"/>
    </row>
    <row r="39" spans="1:22" x14ac:dyDescent="0.35">
      <c r="A39" s="86"/>
      <c r="B39" s="95" t="s">
        <v>164</v>
      </c>
      <c r="C39" s="91">
        <f t="shared" si="6"/>
        <v>4</v>
      </c>
      <c r="D39" s="96"/>
      <c r="E39" s="97">
        <f>COUNTIFS(Record!$D$8:'Record'!$D$200,"Female",Record!$F$8:'Record'!$F$200,"bought",Record!$W$8:'Record'!$W$200,"05 2020")</f>
        <v>2</v>
      </c>
      <c r="F39" s="97">
        <f>COUNTIFS(Record!$D$8:'Record'!$D$200,"Female",Record!$F$8:'Record'!$F$200,"bought",Record!$W$8:'Record'!$W$200,"05 2021")</f>
        <v>2</v>
      </c>
      <c r="G39" s="97">
        <f>COUNTIFS(Record!$D$8:'Record'!$D$200,"Female",Record!$F$8:'Record'!$F$200,"bought",Record!$W$8:'Record'!$W$200,"05 2022")</f>
        <v>0</v>
      </c>
      <c r="H39" s="97">
        <f>COUNTIFS(Record!$D$8:'Record'!$D$200,"Female",Record!$F$8:'Record'!$F$200,"bought",Record!$W$8:'Record'!$W$200,"05 2023")</f>
        <v>0</v>
      </c>
      <c r="I39" s="97">
        <f>COUNTIFS(Record!$D$8:'Record'!$D$200,"Female",Record!$F$8:'Record'!$F$200,"bought",Record!$W$8:'Record'!$W$200,"05 2024")</f>
        <v>0</v>
      </c>
      <c r="J39" s="98">
        <f>COUNTIFS(Record!$D$8:'Record'!$D$200,"Female",Record!$F$8:'Record'!$F$200,"bought",Record!$W$8:'Record'!$W$200,"05 2025")</f>
        <v>0</v>
      </c>
      <c r="K39" s="86"/>
      <c r="L39" s="95" t="s">
        <v>164</v>
      </c>
      <c r="M39" s="91">
        <f t="shared" si="7"/>
        <v>1</v>
      </c>
      <c r="N39" s="96"/>
      <c r="O39" s="97">
        <f>COUNTIFS(Record!$D$8:'Record'!$D$200,"male",Record!$F$8:'Record'!$F$200,"bought",Record!$W$8:'Record'!$W$200,"05 2020")</f>
        <v>1</v>
      </c>
      <c r="P39" s="97">
        <f>COUNTIFS(Record!$D$8:'Record'!$D$200,"male",Record!$F$8:'Record'!$F$200,"bought",Record!$W$8:'Record'!$W$200,"05 2021")</f>
        <v>0</v>
      </c>
      <c r="Q39" s="97">
        <f>COUNTIFS(Record!$D$8:'Record'!$D$200,"male",Record!$F$8:'Record'!$F$200,"bought",Record!$W$8:'Record'!$W$200,"05 2022")</f>
        <v>0</v>
      </c>
      <c r="R39" s="97">
        <f>COUNTIFS(Record!$D$8:'Record'!$D$200,"male",Record!$F$8:'Record'!$F$200,"bought",Record!$W$8:'Record'!$W$200,"05 2023")</f>
        <v>0</v>
      </c>
      <c r="S39" s="97">
        <f>COUNTIFS(Record!$D$8:'Record'!$D$200,"male",Record!$F$8:'Record'!$F$200,"bought",Record!$W$8:'Record'!$W$200,"05 2024")</f>
        <v>0</v>
      </c>
      <c r="T39" s="98">
        <f>COUNTIFS(Record!$D$8:'Record'!$D$200,"male",Record!$F$8:'Record'!$F$200,"bought",Record!$W$8:'Record'!$W$200,"05 2025")</f>
        <v>0</v>
      </c>
      <c r="U39" s="86"/>
      <c r="V39" s="86"/>
    </row>
    <row r="40" spans="1:22" x14ac:dyDescent="0.35">
      <c r="A40" s="86"/>
      <c r="B40" s="95" t="s">
        <v>165</v>
      </c>
      <c r="C40" s="91">
        <f t="shared" si="6"/>
        <v>0</v>
      </c>
      <c r="D40" s="96"/>
      <c r="E40" s="97">
        <f>COUNTIFS(Record!$D$8:'Record'!$D$200,"Female",Record!$F$8:'Record'!$F$200,"bought",Record!$W$8:'Record'!$W$200,"06 2020")</f>
        <v>0</v>
      </c>
      <c r="F40" s="97">
        <f>COUNTIFS(Record!$D$8:'Record'!$D$200,"Female",Record!$F$8:'Record'!$F$200,"bought",Record!$W$8:'Record'!$W$200,"06 2021")</f>
        <v>0</v>
      </c>
      <c r="G40" s="97">
        <f>COUNTIFS(Record!$D$8:'Record'!$D$200,"Female",Record!$F$8:'Record'!$F$200,"bought",Record!$W$8:'Record'!$W$200,"06 2022")</f>
        <v>0</v>
      </c>
      <c r="H40" s="97">
        <f>COUNTIFS(Record!$D$8:'Record'!$D$200,"Female",Record!$F$8:'Record'!$F$200,"bought",Record!$W$8:'Record'!$W$200,"06 2023")</f>
        <v>0</v>
      </c>
      <c r="I40" s="97">
        <f>COUNTIFS(Record!$D$8:'Record'!$D$200,"Female",Record!$F$8:'Record'!$F$200,"bought",Record!$W$8:'Record'!$W$200,"06 2024")</f>
        <v>0</v>
      </c>
      <c r="J40" s="98">
        <f>COUNTIFS(Record!$D$8:'Record'!$D$200,"Female",Record!$F$8:'Record'!$F$200,"bought",Record!$W$8:'Record'!$W$200,"06 2025")</f>
        <v>0</v>
      </c>
      <c r="K40" s="86"/>
      <c r="L40" s="95" t="s">
        <v>165</v>
      </c>
      <c r="M40" s="91">
        <f t="shared" si="7"/>
        <v>0</v>
      </c>
      <c r="N40" s="96"/>
      <c r="O40" s="97">
        <f>COUNTIFS(Record!$D$8:'Record'!$D$200,"male",Record!$F$8:'Record'!$F$200,"bought",Record!$W$8:'Record'!$W$200,"06 2020")</f>
        <v>0</v>
      </c>
      <c r="P40" s="97">
        <f>COUNTIFS(Record!$D$8:'Record'!$D$200,"male",Record!$F$8:'Record'!$F$200,"bought",Record!$W$8:'Record'!$W$200,"06 2021")</f>
        <v>0</v>
      </c>
      <c r="Q40" s="97">
        <f>COUNTIFS(Record!$D$8:'Record'!$D$200,"male",Record!$F$8:'Record'!$F$200,"bought",Record!$W$8:'Record'!$W$200,"06 2022")</f>
        <v>0</v>
      </c>
      <c r="R40" s="97">
        <f>COUNTIFS(Record!$D$8:'Record'!$D$200,"male",Record!$F$8:'Record'!$F$200,"bought",Record!$W$8:'Record'!$W$200,"06 2023")</f>
        <v>0</v>
      </c>
      <c r="S40" s="97">
        <f>COUNTIFS(Record!$D$8:'Record'!$D$200,"male",Record!$F$8:'Record'!$F$200,"bought",Record!$W$8:'Record'!$W$200,"06 2024")</f>
        <v>0</v>
      </c>
      <c r="T40" s="98">
        <f>COUNTIFS(Record!$D$8:'Record'!$D$200,"male",Record!$F$8:'Record'!$F$200,"bought",Record!$W$8:'Record'!$W$200,"06 2025")</f>
        <v>0</v>
      </c>
      <c r="U40" s="86"/>
      <c r="V40" s="86"/>
    </row>
    <row r="41" spans="1:22" x14ac:dyDescent="0.35">
      <c r="A41" s="86"/>
      <c r="B41" s="95" t="s">
        <v>167</v>
      </c>
      <c r="C41" s="91">
        <f t="shared" si="6"/>
        <v>0</v>
      </c>
      <c r="D41" s="96"/>
      <c r="E41" s="97">
        <f>COUNTIFS(Record!$D$8:'Record'!$D$200,"Female",Record!$F$8:'Record'!$F$200,"bought",Record!$W$8:'Record'!$W$200,"07 2020")</f>
        <v>0</v>
      </c>
      <c r="F41" s="97">
        <f>COUNTIFS(Record!$D$8:'Record'!$D$200,"Female",Record!$F$8:'Record'!$F$200,"bought",Record!$W$8:'Record'!$W$200,"07 2021")</f>
        <v>0</v>
      </c>
      <c r="G41" s="97">
        <f>COUNTIFS(Record!$D$8:'Record'!$D$200,"Female",Record!$F$8:'Record'!$F$200,"bought",Record!$W$8:'Record'!$W$200,"07 2022")</f>
        <v>0</v>
      </c>
      <c r="H41" s="97">
        <f>COUNTIFS(Record!$D$8:'Record'!$D$200,"Female",Record!$F$8:'Record'!$F$200,"bought",Record!$W$8:'Record'!$W$200,"07 2023")</f>
        <v>0</v>
      </c>
      <c r="I41" s="97">
        <f>COUNTIFS(Record!$D$8:'Record'!$D$200,"Female",Record!$F$8:'Record'!$F$200,"bought",Record!$W$8:'Record'!$W$200,"07 2024")</f>
        <v>0</v>
      </c>
      <c r="J41" s="98">
        <f>COUNTIFS(Record!$D$8:'Record'!$D$200,"Female",Record!$F$8:'Record'!$F$200,"bought",Record!$W$8:'Record'!$W$200,"07 2025")</f>
        <v>0</v>
      </c>
      <c r="K41" s="86"/>
      <c r="L41" s="95" t="s">
        <v>167</v>
      </c>
      <c r="M41" s="91">
        <f t="shared" si="7"/>
        <v>0</v>
      </c>
      <c r="N41" s="96"/>
      <c r="O41" s="97">
        <f>COUNTIFS(Record!$D$8:'Record'!$D$200,"male",Record!$F$8:'Record'!$F$200,"bought",Record!$W$8:'Record'!$W$200,"07 2020")</f>
        <v>0</v>
      </c>
      <c r="P41" s="97">
        <f>COUNTIFS(Record!$D$8:'Record'!$D$200,"male",Record!$F$8:'Record'!$F$200,"bought",Record!$W$8:'Record'!$W$200,"07 2021")</f>
        <v>0</v>
      </c>
      <c r="Q41" s="97">
        <f>COUNTIFS(Record!$D$8:'Record'!$D$200,"male",Record!$F$8:'Record'!$F$200,"bought",Record!$W$8:'Record'!$W$200,"07 2022")</f>
        <v>0</v>
      </c>
      <c r="R41" s="97">
        <f>COUNTIFS(Record!$D$8:'Record'!$D$200,"male",Record!$F$8:'Record'!$F$200,"bought",Record!$W$8:'Record'!$W$200,"07 2023")</f>
        <v>0</v>
      </c>
      <c r="S41" s="97">
        <f>COUNTIFS(Record!$D$8:'Record'!$D$200,"male",Record!$F$8:'Record'!$F$200,"bought",Record!$W$8:'Record'!$W$200,"07 2024")</f>
        <v>0</v>
      </c>
      <c r="T41" s="98">
        <f>COUNTIFS(Record!$D$8:'Record'!$D$200,"male",Record!$F$8:'Record'!$F$200,"bought",Record!$W$8:'Record'!$W$200,"07 2025")</f>
        <v>0</v>
      </c>
      <c r="U41" s="86"/>
      <c r="V41" s="86"/>
    </row>
    <row r="42" spans="1:22" x14ac:dyDescent="0.35">
      <c r="A42" s="86"/>
      <c r="B42" s="95" t="s">
        <v>168</v>
      </c>
      <c r="C42" s="91">
        <f t="shared" si="6"/>
        <v>0</v>
      </c>
      <c r="D42" s="96"/>
      <c r="E42" s="97">
        <f>COUNTIFS(Record!$D$8:'Record'!$D$200,"Female",Record!$F$8:'Record'!$F$200,"bought",Record!$W$8:'Record'!$W$200,"08 2020")</f>
        <v>0</v>
      </c>
      <c r="F42" s="97">
        <f>COUNTIFS(Record!$D$8:'Record'!$D$200,"Female",Record!$F$8:'Record'!$F$200,"bought",Record!$W$8:'Record'!$W$200,"08 2021")</f>
        <v>0</v>
      </c>
      <c r="G42" s="97">
        <f>COUNTIFS(Record!$D$8:'Record'!$D$200,"Female",Record!$F$8:'Record'!$F$200,"bought",Record!$W$8:'Record'!$W$200,"08 2022")</f>
        <v>0</v>
      </c>
      <c r="H42" s="97">
        <f>COUNTIFS(Record!$D$8:'Record'!$D$200,"Female",Record!$F$8:'Record'!$F$200,"bought",Record!$W$8:'Record'!$W$200,"08 2023")</f>
        <v>0</v>
      </c>
      <c r="I42" s="97">
        <f>COUNTIFS(Record!$D$8:'Record'!$D$200,"Female",Record!$F$8:'Record'!$F$200,"bought",Record!$W$8:'Record'!$W$200,"08 2024")</f>
        <v>0</v>
      </c>
      <c r="J42" s="98">
        <f>COUNTIFS(Record!$D$8:'Record'!$D$200,"Female",Record!$F$8:'Record'!$F$200,"bought",Record!$W$8:'Record'!$W$200,"08 2025")</f>
        <v>0</v>
      </c>
      <c r="K42" s="86"/>
      <c r="L42" s="95" t="s">
        <v>168</v>
      </c>
      <c r="M42" s="91">
        <f t="shared" si="7"/>
        <v>0</v>
      </c>
      <c r="N42" s="96"/>
      <c r="O42" s="97">
        <f>COUNTIFS(Record!$D$8:'Record'!$D$200,"male",Record!$F$8:'Record'!$F$200,"bought",Record!$W$8:'Record'!$W$200,"08 2020")</f>
        <v>0</v>
      </c>
      <c r="P42" s="97">
        <f>COUNTIFS(Record!$D$8:'Record'!$D$200,"male",Record!$F$8:'Record'!$F$200,"bought",Record!$W$8:'Record'!$W$200,"08 2021")</f>
        <v>0</v>
      </c>
      <c r="Q42" s="97">
        <f>COUNTIFS(Record!$D$8:'Record'!$D$200,"male",Record!$F$8:'Record'!$F$200,"bought",Record!$W$8:'Record'!$W$200,"08 2022")</f>
        <v>0</v>
      </c>
      <c r="R42" s="97">
        <f>COUNTIFS(Record!$D$8:'Record'!$D$200,"male",Record!$F$8:'Record'!$F$200,"bought",Record!$W$8:'Record'!$W$200,"08 2023")</f>
        <v>0</v>
      </c>
      <c r="S42" s="97">
        <f>COUNTIFS(Record!$D$8:'Record'!$D$200,"male",Record!$F$8:'Record'!$F$200,"bought",Record!$W$8:'Record'!$W$200,"08 2024")</f>
        <v>0</v>
      </c>
      <c r="T42" s="98">
        <f>COUNTIFS(Record!$D$8:'Record'!$D$200,"male",Record!$F$8:'Record'!$F$200,"bought",Record!$W$8:'Record'!$W$200,"08 2025")</f>
        <v>0</v>
      </c>
      <c r="U42" s="86"/>
      <c r="V42" s="86"/>
    </row>
    <row r="43" spans="1:22" x14ac:dyDescent="0.35">
      <c r="A43" s="86"/>
      <c r="B43" s="95" t="s">
        <v>169</v>
      </c>
      <c r="C43" s="91">
        <f t="shared" si="6"/>
        <v>0</v>
      </c>
      <c r="D43" s="96"/>
      <c r="E43" s="97">
        <f>COUNTIFS(Record!$D$8:'Record'!$D$200,"Female",Record!$F$8:'Record'!$F$200,"bought",Record!$W$8:'Record'!$W$200,"09 2020")</f>
        <v>0</v>
      </c>
      <c r="F43" s="97">
        <f>COUNTIFS(Record!$D$8:'Record'!$D$200,"Female",Record!$F$8:'Record'!$F$200,"bought",Record!$W$8:'Record'!$W$200,"09 2021")</f>
        <v>0</v>
      </c>
      <c r="G43" s="97">
        <f>COUNTIFS(Record!$D$8:'Record'!$D$200,"Female",Record!$F$8:'Record'!$F$200,"bought",Record!$W$8:'Record'!$W$200,"09 2022")</f>
        <v>0</v>
      </c>
      <c r="H43" s="97">
        <f>COUNTIFS(Record!$D$8:'Record'!$D$200,"Female",Record!$F$8:'Record'!$F$200,"bought",Record!$W$8:'Record'!$W$200,"09 2023")</f>
        <v>0</v>
      </c>
      <c r="I43" s="97">
        <f>COUNTIFS(Record!$D$8:'Record'!$D$200,"Female",Record!$F$8:'Record'!$F$200,"bought",Record!$W$8:'Record'!$W$200,"09 2024")</f>
        <v>0</v>
      </c>
      <c r="J43" s="98">
        <f>COUNTIFS(Record!$D$8:'Record'!$D$200,"Female",Record!$F$8:'Record'!$F$200,"bought",Record!$W$8:'Record'!$W$200,"09 2025")</f>
        <v>0</v>
      </c>
      <c r="K43" s="86"/>
      <c r="L43" s="95" t="s">
        <v>169</v>
      </c>
      <c r="M43" s="91">
        <f t="shared" si="7"/>
        <v>0</v>
      </c>
      <c r="N43" s="96"/>
      <c r="O43" s="97">
        <f>COUNTIFS(Record!$D$8:'Record'!$D$200,"male",Record!$F$8:'Record'!$F$200,"bought",Record!$W$8:'Record'!$W$200,"09 2020")</f>
        <v>0</v>
      </c>
      <c r="P43" s="97">
        <f>COUNTIFS(Record!$D$8:'Record'!$D$200,"male",Record!$F$8:'Record'!$F$200,"bought",Record!$W$8:'Record'!$W$200,"09 2021")</f>
        <v>0</v>
      </c>
      <c r="Q43" s="97">
        <f>COUNTIFS(Record!$D$8:'Record'!$D$200,"male",Record!$F$8:'Record'!$F$200,"bought",Record!$W$8:'Record'!$W$200,"09 2022")</f>
        <v>0</v>
      </c>
      <c r="R43" s="97">
        <f>COUNTIFS(Record!$D$8:'Record'!$D$200,"male",Record!$F$8:'Record'!$F$200,"bought",Record!$W$8:'Record'!$W$200,"09 2023")</f>
        <v>0</v>
      </c>
      <c r="S43" s="97">
        <f>COUNTIFS(Record!$D$8:'Record'!$D$200,"male",Record!$F$8:'Record'!$F$200,"bought",Record!$W$8:'Record'!$W$200,"09 2024")</f>
        <v>0</v>
      </c>
      <c r="T43" s="98">
        <f>COUNTIFS(Record!$D$8:'Record'!$D$200,"male",Record!$F$8:'Record'!$F$200,"bought",Record!$W$8:'Record'!$W$200,"09 2025")</f>
        <v>0</v>
      </c>
      <c r="U43" s="86"/>
      <c r="V43" s="86"/>
    </row>
    <row r="44" spans="1:22" x14ac:dyDescent="0.35">
      <c r="A44" s="86"/>
      <c r="B44" s="95" t="s">
        <v>170</v>
      </c>
      <c r="C44" s="91">
        <f t="shared" si="6"/>
        <v>5</v>
      </c>
      <c r="D44" s="96"/>
      <c r="E44" s="97">
        <f>COUNTIFS(Record!$D$8:'Record'!$D$200,"Female",Record!$F$8:'Record'!$F$200,"bought",Record!$W$8:'Record'!$W$200,"10 2020")</f>
        <v>5</v>
      </c>
      <c r="F44" s="97">
        <f>COUNTIFS(Record!$D$8:'Record'!$D$200,"Female",Record!$F$8:'Record'!$F$200,"bought",Record!$W$8:'Record'!$W$200,"10 2021")</f>
        <v>0</v>
      </c>
      <c r="G44" s="97">
        <f>COUNTIFS(Record!$D$8:'Record'!$D$200,"Female",Record!$F$8:'Record'!$F$200,"bought",Record!$W$8:'Record'!$W$200,"10 2022")</f>
        <v>0</v>
      </c>
      <c r="H44" s="97">
        <f>COUNTIFS(Record!$D$8:'Record'!$D$200,"Female",Record!$F$8:'Record'!$F$200,"bought",Record!$W$8:'Record'!$W$200,"10 2023")</f>
        <v>0</v>
      </c>
      <c r="I44" s="97">
        <f>COUNTIFS(Record!$D$8:'Record'!$D$200,"Female",Record!$F$8:'Record'!$F$200,"bought",Record!$W$8:'Record'!$W$200,"10 2024")</f>
        <v>0</v>
      </c>
      <c r="J44" s="98">
        <f>COUNTIFS(Record!$D$8:'Record'!$D$200,"Female",Record!$F$8:'Record'!$F$200,"bought",Record!$W$8:'Record'!$W$200,"10 2025")</f>
        <v>0</v>
      </c>
      <c r="K44" s="86"/>
      <c r="L44" s="95" t="s">
        <v>170</v>
      </c>
      <c r="M44" s="91">
        <f t="shared" si="7"/>
        <v>0</v>
      </c>
      <c r="N44" s="96"/>
      <c r="O44" s="97">
        <f>COUNTIFS(Record!$D$8:'Record'!$D$200,"male",Record!$F$8:'Record'!$F$200,"bought",Record!$W$8:'Record'!$W$200,"10 2020")</f>
        <v>0</v>
      </c>
      <c r="P44" s="97">
        <f>COUNTIFS(Record!$D$8:'Record'!$D$200,"male",Record!$F$8:'Record'!$F$200,"bought",Record!$W$8:'Record'!$W$200,"10 2021")</f>
        <v>0</v>
      </c>
      <c r="Q44" s="97">
        <f>COUNTIFS(Record!$D$8:'Record'!$D$200,"male",Record!$F$8:'Record'!$F$200,"bought",Record!$W$8:'Record'!$W$200,"10 2022")</f>
        <v>0</v>
      </c>
      <c r="R44" s="97">
        <f>COUNTIFS(Record!$D$8:'Record'!$D$200,"male",Record!$F$8:'Record'!$F$200,"bought",Record!$W$8:'Record'!$W$200,"10 2023")</f>
        <v>0</v>
      </c>
      <c r="S44" s="97">
        <f>COUNTIFS(Record!$D$8:'Record'!$D$200,"male",Record!$F$8:'Record'!$F$200,"bought",Record!$W$8:'Record'!$W$200,"10 2024")</f>
        <v>0</v>
      </c>
      <c r="T44" s="98">
        <f>COUNTIFS(Record!$D$8:'Record'!$D$200,"male",Record!$F$8:'Record'!$F$200,"bought",Record!$W$8:'Record'!$W$200,"10 2025")</f>
        <v>0</v>
      </c>
      <c r="U44" s="86"/>
      <c r="V44" s="86"/>
    </row>
    <row r="45" spans="1:22" x14ac:dyDescent="0.35">
      <c r="A45" s="86"/>
      <c r="B45" s="95" t="s">
        <v>171</v>
      </c>
      <c r="C45" s="91">
        <f t="shared" si="6"/>
        <v>0</v>
      </c>
      <c r="D45" s="96"/>
      <c r="E45" s="97">
        <f>COUNTIFS(Record!$D$8:'Record'!$D$200,"Female",Record!$F$8:'Record'!$F$200,"bought",Record!$W$8:'Record'!$W$200,"11 2020")</f>
        <v>0</v>
      </c>
      <c r="F45" s="97">
        <f>COUNTIFS(Record!$D$8:'Record'!$D$200,"Female",Record!$F$8:'Record'!$F$200,"bought",Record!$W$8:'Record'!$W$200,"11 2021")</f>
        <v>0</v>
      </c>
      <c r="G45" s="97">
        <f>COUNTIFS(Record!$D$8:'Record'!$D$200,"Female",Record!$F$8:'Record'!$F$200,"bought",Record!$W$8:'Record'!$W$200,"11 2022")</f>
        <v>0</v>
      </c>
      <c r="H45" s="97">
        <f>COUNTIFS(Record!$D$8:'Record'!$D$200,"Female",Record!$F$8:'Record'!$F$200,"bought",Record!$W$8:'Record'!$W$200,"11 2023")</f>
        <v>0</v>
      </c>
      <c r="I45" s="97">
        <f>COUNTIFS(Record!$D$8:'Record'!$D$200,"Female",Record!$F$8:'Record'!$F$200,"bought",Record!$W$8:'Record'!$W$200,"11 2024")</f>
        <v>0</v>
      </c>
      <c r="J45" s="98">
        <f>COUNTIFS(Record!$D$8:'Record'!$D$200,"Female",Record!$F$8:'Record'!$F$200,"bought",Record!$W$8:'Record'!$W$200,"11 2025")</f>
        <v>0</v>
      </c>
      <c r="K45" s="86"/>
      <c r="L45" s="95" t="s">
        <v>171</v>
      </c>
      <c r="M45" s="91">
        <f t="shared" si="7"/>
        <v>0</v>
      </c>
      <c r="N45" s="96"/>
      <c r="O45" s="97">
        <f>COUNTIFS(Record!$D$8:'Record'!$D$200,"male",Record!$F$8:'Record'!$F$200,"bought",Record!$W$8:'Record'!$W$200,"11 2020")</f>
        <v>0</v>
      </c>
      <c r="P45" s="97">
        <f>COUNTIFS(Record!$D$8:'Record'!$D$200,"male",Record!$F$8:'Record'!$F$200,"bought",Record!$W$8:'Record'!$W$200,"11 2021")</f>
        <v>0</v>
      </c>
      <c r="Q45" s="97">
        <f>COUNTIFS(Record!$D$8:'Record'!$D$200,"male",Record!$F$8:'Record'!$F$200,"bought",Record!$W$8:'Record'!$W$200,"11 2022")</f>
        <v>0</v>
      </c>
      <c r="R45" s="97">
        <f>COUNTIFS(Record!$D$8:'Record'!$D$200,"male",Record!$F$8:'Record'!$F$200,"bought",Record!$W$8:'Record'!$W$200,"11 2023")</f>
        <v>0</v>
      </c>
      <c r="S45" s="97">
        <f>COUNTIFS(Record!$D$8:'Record'!$D$200,"male",Record!$F$8:'Record'!$F$200,"bought",Record!$W$8:'Record'!$W$200,"11 2024")</f>
        <v>0</v>
      </c>
      <c r="T45" s="98">
        <f>COUNTIFS(Record!$D$8:'Record'!$D$200,"male",Record!$F$8:'Record'!$F$200,"bought",Record!$W$8:'Record'!$W$200,"11 2025")</f>
        <v>0</v>
      </c>
      <c r="U45" s="86"/>
      <c r="V45" s="86"/>
    </row>
    <row r="46" spans="1:22" ht="16" thickBot="1" x14ac:dyDescent="0.4">
      <c r="A46" s="86"/>
      <c r="B46" s="99" t="s">
        <v>172</v>
      </c>
      <c r="C46" s="100">
        <f t="shared" si="6"/>
        <v>6</v>
      </c>
      <c r="D46" s="101">
        <f>COUNTIFS(Record!$D$8:'Record'!$D$200,"Female",Record!$F$8:'Record'!$F$200,"bought",Record!$W$8:'Record'!$W$200,"12 2019")</f>
        <v>6</v>
      </c>
      <c r="E46" s="102">
        <f>COUNTIFS(Record!$D$8:'Record'!$D$200,"Female",Record!$F$8:'Record'!$F$200,"bought",Record!$W$8:'Record'!$W$200,"12 2020")</f>
        <v>0</v>
      </c>
      <c r="F46" s="102">
        <f>COUNTIFS(Record!$D$8:'Record'!$D$200,"Female",Record!$F$8:'Record'!$F$200,"bought",Record!$W$8:'Record'!$W$200,"12 2021")</f>
        <v>0</v>
      </c>
      <c r="G46" s="102">
        <f>COUNTIFS(Record!$D$8:'Record'!$D$200,"Female",Record!$F$8:'Record'!$F$200,"bought",Record!$W$8:'Record'!$W$200,"12 2022")</f>
        <v>0</v>
      </c>
      <c r="H46" s="102">
        <f>COUNTIFS(Record!$D$8:'Record'!$D$200,"Female",Record!$F$8:'Record'!$F$200,"bought",Record!$W$8:'Record'!$W$200,"12 2023")</f>
        <v>0</v>
      </c>
      <c r="I46" s="102">
        <f>COUNTIFS(Record!$D$8:'Record'!$D$200,"Female",Record!$F$8:'Record'!$F$200,"bought",Record!$W$8:'Record'!$W$200,"12 2024")</f>
        <v>0</v>
      </c>
      <c r="J46" s="103">
        <f>COUNTIFS(Record!$D$8:'Record'!$D$200,"Female",Record!$F$8:'Record'!$F$200,"bought",Record!$W$8:'Record'!$W$200,"12 2025")</f>
        <v>0</v>
      </c>
      <c r="K46" s="86"/>
      <c r="L46" s="99" t="s">
        <v>172</v>
      </c>
      <c r="M46" s="91">
        <f t="shared" si="7"/>
        <v>1</v>
      </c>
      <c r="N46" s="101">
        <f>COUNTIFS(Record!$D$8:'Record'!$D$200,"male",Record!$F$8:'Record'!$F$200,"bought",Record!$W$8:'Record'!$W$200,"12 2019")</f>
        <v>1</v>
      </c>
      <c r="O46" s="102">
        <f>COUNTIFS(Record!$D$8:'Record'!$D$200,"male",Record!$F$8:'Record'!$F$200,"bought",Record!$W$8:'Record'!$W$200,"12 2020")</f>
        <v>0</v>
      </c>
      <c r="P46" s="102">
        <f>COUNTIFS(Record!$D$8:'Record'!$D$200,"male",Record!$F$8:'Record'!$F$200,"bought",Record!$W$8:'Record'!$W$200,"12 2021")</f>
        <v>0</v>
      </c>
      <c r="Q46" s="102">
        <f>COUNTIFS(Record!$D$8:'Record'!$D$200,"male",Record!$F$8:'Record'!$F$200,"bought",Record!$W$8:'Record'!$W$200,"12 2022")</f>
        <v>0</v>
      </c>
      <c r="R46" s="102">
        <f>COUNTIFS(Record!$D$8:'Record'!$D$200,"male",Record!$F$8:'Record'!$F$200,"bought",Record!$W$8:'Record'!$W$200,"12 2023")</f>
        <v>0</v>
      </c>
      <c r="S46" s="102">
        <f>COUNTIFS(Record!$D$8:'Record'!$D$200,"male",Record!$F$8:'Record'!$F$200,"bought",Record!$W$8:'Record'!$W$200,"12 2024")</f>
        <v>0</v>
      </c>
      <c r="T46" s="103">
        <f>COUNTIFS(Record!$D$8:'Record'!$D$200,"male",Record!$F$8:'Record'!$F$200,"bought",Record!$W$8:'Record'!$W$200,"12 2025")</f>
        <v>0</v>
      </c>
      <c r="U46" s="86"/>
      <c r="V46" s="86"/>
    </row>
    <row r="47" spans="1:22" ht="16" thickBot="1" x14ac:dyDescent="0.4">
      <c r="A47" s="86"/>
      <c r="B47" s="104" t="s">
        <v>173</v>
      </c>
      <c r="C47" s="109">
        <f>SUM(C35:C46)</f>
        <v>15</v>
      </c>
      <c r="D47" s="109">
        <f>SUM(D35:D46)</f>
        <v>6</v>
      </c>
      <c r="E47" s="109">
        <f t="shared" ref="E47:J47" si="8">SUM(E35:E46)</f>
        <v>7</v>
      </c>
      <c r="F47" s="109">
        <f t="shared" si="8"/>
        <v>2</v>
      </c>
      <c r="G47" s="109">
        <f t="shared" si="8"/>
        <v>0</v>
      </c>
      <c r="H47" s="109">
        <f t="shared" si="8"/>
        <v>0</v>
      </c>
      <c r="I47" s="109">
        <f t="shared" si="8"/>
        <v>0</v>
      </c>
      <c r="J47" s="109">
        <f t="shared" si="8"/>
        <v>0</v>
      </c>
      <c r="K47" s="86"/>
      <c r="L47" s="104" t="s">
        <v>173</v>
      </c>
      <c r="M47" s="109">
        <f>SUM(M35:M46)</f>
        <v>2</v>
      </c>
      <c r="N47" s="104">
        <f>SUM(N35:N46)</f>
        <v>1</v>
      </c>
      <c r="O47" s="104">
        <f t="shared" ref="O47:T47" si="9">SUM(O35:O46)</f>
        <v>1</v>
      </c>
      <c r="P47" s="104">
        <f t="shared" si="9"/>
        <v>0</v>
      </c>
      <c r="Q47" s="104">
        <f t="shared" si="9"/>
        <v>0</v>
      </c>
      <c r="R47" s="104">
        <f t="shared" si="9"/>
        <v>0</v>
      </c>
      <c r="S47" s="104">
        <f t="shared" si="9"/>
        <v>0</v>
      </c>
      <c r="T47" s="104">
        <f t="shared" si="9"/>
        <v>0</v>
      </c>
      <c r="U47" s="86"/>
      <c r="V47" s="86"/>
    </row>
    <row r="48" spans="1:22" x14ac:dyDescent="0.3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x14ac:dyDescent="0.3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ht="16" thickBot="1" x14ac:dyDescent="0.4">
      <c r="A50" s="86"/>
      <c r="B50" s="87" t="s">
        <v>181</v>
      </c>
      <c r="C50" s="88" t="s">
        <v>173</v>
      </c>
      <c r="D50" s="89">
        <v>2019</v>
      </c>
      <c r="E50" s="89">
        <v>2020</v>
      </c>
      <c r="F50" s="89">
        <v>2021</v>
      </c>
      <c r="G50" s="89">
        <v>2022</v>
      </c>
      <c r="H50" s="89">
        <v>2023</v>
      </c>
      <c r="I50" s="89">
        <v>2024</v>
      </c>
      <c r="J50" s="89">
        <v>2025</v>
      </c>
      <c r="K50" s="86"/>
      <c r="L50" s="87" t="s">
        <v>184</v>
      </c>
      <c r="M50" s="88" t="s">
        <v>173</v>
      </c>
      <c r="N50" s="89">
        <v>2019</v>
      </c>
      <c r="O50" s="89">
        <v>2020</v>
      </c>
      <c r="P50" s="89">
        <v>2021</v>
      </c>
      <c r="Q50" s="89">
        <v>2022</v>
      </c>
      <c r="R50" s="89">
        <v>2023</v>
      </c>
      <c r="S50" s="89">
        <v>2024</v>
      </c>
      <c r="T50" s="89">
        <v>2025</v>
      </c>
      <c r="U50" s="86"/>
      <c r="V50" s="86"/>
    </row>
    <row r="51" spans="1:22" x14ac:dyDescent="0.35">
      <c r="A51" s="86"/>
      <c r="B51" s="90" t="s">
        <v>166</v>
      </c>
      <c r="C51" s="91">
        <f>SUM($D51:$J51)</f>
        <v>0</v>
      </c>
      <c r="D51" s="92"/>
      <c r="E51" s="93"/>
      <c r="F51" s="93"/>
      <c r="G51" s="93"/>
      <c r="H51" s="93"/>
      <c r="I51" s="93"/>
      <c r="J51" s="94"/>
      <c r="K51" s="86"/>
      <c r="L51" s="90" t="s">
        <v>166</v>
      </c>
      <c r="M51" s="91">
        <f>SUM(N51:T51)</f>
        <v>0</v>
      </c>
      <c r="N51" s="92"/>
      <c r="O51" s="93"/>
      <c r="P51" s="93"/>
      <c r="Q51" s="93"/>
      <c r="R51" s="93"/>
      <c r="S51" s="93"/>
      <c r="T51" s="94"/>
      <c r="U51" s="86"/>
      <c r="V51" s="86"/>
    </row>
    <row r="52" spans="1:22" x14ac:dyDescent="0.35">
      <c r="A52" s="86"/>
      <c r="B52" s="95" t="s">
        <v>161</v>
      </c>
      <c r="C52" s="91">
        <f t="shared" ref="C52:C62" si="10">SUM($D52:$J52)</f>
        <v>0</v>
      </c>
      <c r="D52" s="96"/>
      <c r="E52" s="97"/>
      <c r="F52" s="97"/>
      <c r="G52" s="97"/>
      <c r="H52" s="97"/>
      <c r="I52" s="97"/>
      <c r="J52" s="107"/>
      <c r="K52" s="86"/>
      <c r="L52" s="95" t="s">
        <v>161</v>
      </c>
      <c r="M52" s="91">
        <f t="shared" ref="M52:M62" si="11">SUM(N52:T52)</f>
        <v>0</v>
      </c>
      <c r="N52" s="96"/>
      <c r="O52" s="97"/>
      <c r="P52" s="97"/>
      <c r="Q52" s="97"/>
      <c r="R52" s="97"/>
      <c r="S52" s="97"/>
      <c r="T52" s="107"/>
      <c r="U52" s="86"/>
      <c r="V52" s="86"/>
    </row>
    <row r="53" spans="1:22" x14ac:dyDescent="0.35">
      <c r="A53" s="86"/>
      <c r="B53" s="95" t="s">
        <v>162</v>
      </c>
      <c r="C53" s="91">
        <f t="shared" si="10"/>
        <v>0</v>
      </c>
      <c r="D53" s="96"/>
      <c r="E53" s="97"/>
      <c r="F53" s="97"/>
      <c r="G53" s="97"/>
      <c r="H53" s="97"/>
      <c r="I53" s="97"/>
      <c r="J53" s="107"/>
      <c r="K53" s="86"/>
      <c r="L53" s="95" t="s">
        <v>162</v>
      </c>
      <c r="M53" s="91">
        <f t="shared" si="11"/>
        <v>0</v>
      </c>
      <c r="N53" s="96"/>
      <c r="O53" s="97"/>
      <c r="P53" s="97"/>
      <c r="Q53" s="97"/>
      <c r="R53" s="97"/>
      <c r="S53" s="97"/>
      <c r="T53" s="107"/>
      <c r="U53" s="86"/>
      <c r="V53" s="86"/>
    </row>
    <row r="54" spans="1:22" x14ac:dyDescent="0.35">
      <c r="A54" s="86"/>
      <c r="B54" s="95" t="s">
        <v>163</v>
      </c>
      <c r="C54" s="91">
        <f t="shared" si="10"/>
        <v>0</v>
      </c>
      <c r="D54" s="96"/>
      <c r="E54" s="97"/>
      <c r="F54" s="97"/>
      <c r="G54" s="97"/>
      <c r="H54" s="97"/>
      <c r="I54" s="97"/>
      <c r="J54" s="107"/>
      <c r="K54" s="86"/>
      <c r="L54" s="95" t="s">
        <v>163</v>
      </c>
      <c r="M54" s="91">
        <f t="shared" si="11"/>
        <v>0</v>
      </c>
      <c r="N54" s="96"/>
      <c r="O54" s="97"/>
      <c r="P54" s="97"/>
      <c r="Q54" s="97"/>
      <c r="R54" s="97"/>
      <c r="S54" s="97"/>
      <c r="T54" s="107"/>
      <c r="U54" s="86"/>
      <c r="V54" s="86"/>
    </row>
    <row r="55" spans="1:22" x14ac:dyDescent="0.35">
      <c r="A55" s="86"/>
      <c r="B55" s="95" t="s">
        <v>164</v>
      </c>
      <c r="C55" s="91">
        <f t="shared" si="10"/>
        <v>0</v>
      </c>
      <c r="D55" s="96"/>
      <c r="E55" s="97"/>
      <c r="F55" s="97"/>
      <c r="G55" s="97"/>
      <c r="H55" s="97"/>
      <c r="I55" s="97"/>
      <c r="J55" s="107"/>
      <c r="K55" s="86"/>
      <c r="L55" s="95" t="s">
        <v>164</v>
      </c>
      <c r="M55" s="91">
        <f t="shared" si="11"/>
        <v>7</v>
      </c>
      <c r="N55" s="96"/>
      <c r="O55" s="97"/>
      <c r="P55" s="97"/>
      <c r="Q55" s="97">
        <v>7</v>
      </c>
      <c r="R55" s="97"/>
      <c r="S55" s="97"/>
      <c r="T55" s="107"/>
      <c r="U55" s="86"/>
      <c r="V55" s="86"/>
    </row>
    <row r="56" spans="1:22" x14ac:dyDescent="0.35">
      <c r="A56" s="86"/>
      <c r="B56" s="95" t="s">
        <v>165</v>
      </c>
      <c r="C56" s="91">
        <f t="shared" si="10"/>
        <v>0</v>
      </c>
      <c r="D56" s="96"/>
      <c r="E56" s="97"/>
      <c r="F56" s="97"/>
      <c r="G56" s="97"/>
      <c r="H56" s="97"/>
      <c r="I56" s="97"/>
      <c r="J56" s="107"/>
      <c r="K56" s="86"/>
      <c r="L56" s="95" t="s">
        <v>165</v>
      </c>
      <c r="M56" s="91">
        <f t="shared" si="11"/>
        <v>0</v>
      </c>
      <c r="N56" s="96"/>
      <c r="O56" s="97"/>
      <c r="P56" s="97"/>
      <c r="Q56" s="97"/>
      <c r="R56" s="97"/>
      <c r="S56" s="97"/>
      <c r="T56" s="107"/>
      <c r="U56" s="86"/>
      <c r="V56" s="86"/>
    </row>
    <row r="57" spans="1:22" x14ac:dyDescent="0.35">
      <c r="A57" s="86"/>
      <c r="B57" s="95" t="s">
        <v>167</v>
      </c>
      <c r="C57" s="91">
        <f t="shared" si="10"/>
        <v>0</v>
      </c>
      <c r="D57" s="96"/>
      <c r="E57" s="97"/>
      <c r="F57" s="97"/>
      <c r="G57" s="97"/>
      <c r="H57" s="97"/>
      <c r="I57" s="97"/>
      <c r="J57" s="107"/>
      <c r="K57" s="86"/>
      <c r="L57" s="95" t="s">
        <v>167</v>
      </c>
      <c r="M57" s="91">
        <f t="shared" si="11"/>
        <v>0</v>
      </c>
      <c r="N57" s="96"/>
      <c r="O57" s="97"/>
      <c r="P57" s="97"/>
      <c r="Q57" s="97"/>
      <c r="R57" s="97"/>
      <c r="S57" s="97"/>
      <c r="T57" s="107"/>
      <c r="U57" s="86"/>
      <c r="V57" s="86"/>
    </row>
    <row r="58" spans="1:22" x14ac:dyDescent="0.35">
      <c r="A58" s="86"/>
      <c r="B58" s="95" t="s">
        <v>168</v>
      </c>
      <c r="C58" s="91">
        <f t="shared" si="10"/>
        <v>0</v>
      </c>
      <c r="D58" s="96"/>
      <c r="E58" s="97"/>
      <c r="F58" s="97"/>
      <c r="G58" s="97"/>
      <c r="H58" s="97"/>
      <c r="I58" s="97"/>
      <c r="J58" s="107"/>
      <c r="K58" s="86"/>
      <c r="L58" s="95" t="s">
        <v>168</v>
      </c>
      <c r="M58" s="91">
        <f t="shared" si="11"/>
        <v>0</v>
      </c>
      <c r="N58" s="96"/>
      <c r="O58" s="97"/>
      <c r="P58" s="97"/>
      <c r="Q58" s="97"/>
      <c r="R58" s="97"/>
      <c r="S58" s="97"/>
      <c r="T58" s="107"/>
      <c r="U58" s="86"/>
      <c r="V58" s="86"/>
    </row>
    <row r="59" spans="1:22" x14ac:dyDescent="0.35">
      <c r="A59" s="86"/>
      <c r="B59" s="95" t="s">
        <v>169</v>
      </c>
      <c r="C59" s="91">
        <f t="shared" si="10"/>
        <v>0</v>
      </c>
      <c r="D59" s="96"/>
      <c r="E59" s="97"/>
      <c r="F59" s="97"/>
      <c r="G59" s="97"/>
      <c r="H59" s="97"/>
      <c r="I59" s="97"/>
      <c r="J59" s="107"/>
      <c r="K59" s="86"/>
      <c r="L59" s="95" t="s">
        <v>169</v>
      </c>
      <c r="M59" s="91">
        <f t="shared" si="11"/>
        <v>0</v>
      </c>
      <c r="N59" s="96"/>
      <c r="O59" s="97"/>
      <c r="P59" s="97"/>
      <c r="Q59" s="97"/>
      <c r="R59" s="97"/>
      <c r="S59" s="97"/>
      <c r="T59" s="107"/>
      <c r="U59" s="86"/>
      <c r="V59" s="86"/>
    </row>
    <row r="60" spans="1:22" x14ac:dyDescent="0.35">
      <c r="A60" s="86"/>
      <c r="B60" s="95" t="s">
        <v>170</v>
      </c>
      <c r="C60" s="91">
        <f t="shared" si="10"/>
        <v>0</v>
      </c>
      <c r="D60" s="96"/>
      <c r="E60" s="97"/>
      <c r="F60" s="97"/>
      <c r="G60" s="97"/>
      <c r="H60" s="97"/>
      <c r="I60" s="97"/>
      <c r="J60" s="107"/>
      <c r="K60" s="86"/>
      <c r="L60" s="95" t="s">
        <v>170</v>
      </c>
      <c r="M60" s="91">
        <f t="shared" si="11"/>
        <v>0</v>
      </c>
      <c r="N60" s="96"/>
      <c r="O60" s="97"/>
      <c r="P60" s="97"/>
      <c r="Q60" s="97"/>
      <c r="R60" s="97"/>
      <c r="S60" s="97"/>
      <c r="T60" s="107"/>
      <c r="U60" s="86"/>
      <c r="V60" s="86"/>
    </row>
    <row r="61" spans="1:22" x14ac:dyDescent="0.35">
      <c r="A61" s="86"/>
      <c r="B61" s="95" t="s">
        <v>171</v>
      </c>
      <c r="C61" s="91">
        <f t="shared" si="10"/>
        <v>0</v>
      </c>
      <c r="D61" s="96"/>
      <c r="E61" s="97"/>
      <c r="F61" s="97"/>
      <c r="G61" s="97"/>
      <c r="H61" s="97"/>
      <c r="I61" s="97"/>
      <c r="J61" s="107"/>
      <c r="K61" s="86"/>
      <c r="L61" s="95" t="s">
        <v>171</v>
      </c>
      <c r="M61" s="91">
        <f t="shared" si="11"/>
        <v>0</v>
      </c>
      <c r="N61" s="96"/>
      <c r="O61" s="97"/>
      <c r="P61" s="97"/>
      <c r="Q61" s="97"/>
      <c r="R61" s="97"/>
      <c r="S61" s="97"/>
      <c r="T61" s="107"/>
      <c r="U61" s="86"/>
      <c r="V61" s="86"/>
    </row>
    <row r="62" spans="1:22" ht="16" thickBot="1" x14ac:dyDescent="0.4">
      <c r="A62" s="86"/>
      <c r="B62" s="99" t="s">
        <v>172</v>
      </c>
      <c r="C62" s="100">
        <f t="shared" si="10"/>
        <v>0</v>
      </c>
      <c r="D62" s="101"/>
      <c r="E62" s="102"/>
      <c r="F62" s="102"/>
      <c r="G62" s="102"/>
      <c r="H62" s="102"/>
      <c r="I62" s="102"/>
      <c r="J62" s="108"/>
      <c r="K62" s="86"/>
      <c r="L62" s="99" t="s">
        <v>172</v>
      </c>
      <c r="M62" s="91">
        <f t="shared" si="11"/>
        <v>0</v>
      </c>
      <c r="N62" s="101"/>
      <c r="O62" s="102"/>
      <c r="P62" s="102"/>
      <c r="Q62" s="102"/>
      <c r="R62" s="102"/>
      <c r="S62" s="102"/>
      <c r="T62" s="108"/>
      <c r="U62" s="86"/>
      <c r="V62" s="86"/>
    </row>
    <row r="63" spans="1:22" ht="16" thickBot="1" x14ac:dyDescent="0.4">
      <c r="A63" s="86"/>
      <c r="B63" s="104" t="s">
        <v>173</v>
      </c>
      <c r="C63" s="109">
        <f>SUM(C51:C62)</f>
        <v>0</v>
      </c>
      <c r="D63" s="104"/>
      <c r="E63" s="104"/>
      <c r="F63" s="104"/>
      <c r="G63" s="104"/>
      <c r="H63" s="104"/>
      <c r="I63" s="104"/>
      <c r="J63" s="104"/>
      <c r="K63" s="86"/>
      <c r="L63" s="104" t="s">
        <v>173</v>
      </c>
      <c r="M63" s="110">
        <f>SUM(M51:M62)</f>
        <v>7</v>
      </c>
      <c r="N63" s="104"/>
      <c r="O63" s="104"/>
      <c r="P63" s="104"/>
      <c r="Q63" s="104">
        <f>SUM(Q51:Q62)</f>
        <v>7</v>
      </c>
      <c r="R63" s="104"/>
      <c r="S63" s="104"/>
      <c r="T63" s="104"/>
      <c r="U63" s="86"/>
      <c r="V63" s="86"/>
    </row>
    <row r="64" spans="1:22" x14ac:dyDescent="0.3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x14ac:dyDescent="0.3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ht="16" thickBot="1" x14ac:dyDescent="0.4">
      <c r="A66" s="86"/>
      <c r="B66" s="87" t="s">
        <v>183</v>
      </c>
      <c r="C66" s="88" t="s">
        <v>173</v>
      </c>
      <c r="D66" s="89">
        <v>2019</v>
      </c>
      <c r="E66" s="89">
        <v>2020</v>
      </c>
      <c r="F66" s="89">
        <v>2021</v>
      </c>
      <c r="G66" s="89">
        <v>2022</v>
      </c>
      <c r="H66" s="89">
        <v>2023</v>
      </c>
      <c r="I66" s="89">
        <v>2024</v>
      </c>
      <c r="J66" s="89">
        <v>2025</v>
      </c>
      <c r="K66" s="86"/>
      <c r="L66" s="87" t="s">
        <v>182</v>
      </c>
      <c r="M66" s="88" t="s">
        <v>173</v>
      </c>
      <c r="N66" s="89">
        <v>2019</v>
      </c>
      <c r="O66" s="89">
        <v>2020</v>
      </c>
      <c r="P66" s="89">
        <v>2021</v>
      </c>
      <c r="Q66" s="89">
        <v>2022</v>
      </c>
      <c r="R66" s="89">
        <v>2023</v>
      </c>
      <c r="S66" s="89">
        <v>2024</v>
      </c>
      <c r="T66" s="89">
        <v>2025</v>
      </c>
      <c r="U66" s="86"/>
      <c r="V66" s="86"/>
    </row>
    <row r="67" spans="1:22" x14ac:dyDescent="0.35">
      <c r="A67" s="86"/>
      <c r="B67" s="90" t="s">
        <v>166</v>
      </c>
      <c r="C67" s="91">
        <f>SUM($D67:$J67)</f>
        <v>1</v>
      </c>
      <c r="D67" s="92"/>
      <c r="E67" s="93">
        <f>COUNTIFS(Record!$D$8:'Record'!$D$200,"Female",Record!$L$8:'Record'!$L$200,"dead",Record!$W$8:'Record'!$W$200,"01 2020")</f>
        <v>1</v>
      </c>
      <c r="F67" s="93">
        <f>COUNTIFS(Record!$D$8:'Record'!$D$200,"Female",Record!$L$8:'Record'!$L$200,"dead",Record!$W$8:'Record'!$W$200,"01 2021")</f>
        <v>0</v>
      </c>
      <c r="G67" s="93">
        <f>COUNTIFS(Record!$D$8:'Record'!$D$200,"Female",Record!$L$8:'Record'!$L$200,"dead",Record!$W$8:'Record'!$W$200,"01 2022")</f>
        <v>0</v>
      </c>
      <c r="H67" s="93">
        <f>COUNTIFS(Record!$D$8:'Record'!$D$200,"Female",Record!$L$8:'Record'!$L$200,"dead",Record!$W$8:'Record'!$W$200,"01 2023")</f>
        <v>0</v>
      </c>
      <c r="I67" s="93">
        <f>COUNTIFS(Record!$D$8:'Record'!$D$200,"Female",Record!$L$8:'Record'!$L$200,"dead",Record!$W$8:'Record'!$W$200,"01 2024")</f>
        <v>0</v>
      </c>
      <c r="J67" s="94">
        <f>COUNTIFS(Record!$D$8:'Record'!$D$200,"Female",Record!$L$8:'Record'!$L$200,"dead",Record!$W$8:'Record'!$W$200,"01 2025")</f>
        <v>0</v>
      </c>
      <c r="K67" s="86"/>
      <c r="L67" s="90" t="s">
        <v>166</v>
      </c>
      <c r="M67" s="91">
        <f>SUM($N67:$T67)</f>
        <v>1</v>
      </c>
      <c r="N67" s="92"/>
      <c r="O67" s="93">
        <f>COUNTIFS(Record!$D$8:'Record'!$D$200,"male",Record!$L$8:'Record'!$L$200,"dead",Record!$W$8:'Record'!$W$200,"01 2020")</f>
        <v>0</v>
      </c>
      <c r="P67" s="93">
        <f>COUNTIFS(Record!$D$8:'Record'!$D$200,"male",Record!$L$8:'Record'!$L$200,"dead",Record!$W$8:'Record'!$W$200,"01 2021")</f>
        <v>1</v>
      </c>
      <c r="Q67" s="93">
        <f>COUNTIFS(Record!$D$8:'Record'!$D$200,"male",Record!$L$8:'Record'!$L$200,"dead",Record!$W$8:'Record'!$W$200,"01 2022")</f>
        <v>0</v>
      </c>
      <c r="R67" s="93">
        <f>COUNTIFS(Record!$D$8:'Record'!$D$200,"male",Record!$L$8:'Record'!$L$200,"dead",Record!$W$8:'Record'!$W$200,"01 2023")</f>
        <v>0</v>
      </c>
      <c r="S67" s="93">
        <f>COUNTIFS(Record!$D$8:'Record'!$D$200,"male",Record!$L$8:'Record'!$L$200,"dead",Record!$W$8:'Record'!$W$200,"01 2024")</f>
        <v>0</v>
      </c>
      <c r="T67" s="94">
        <f>COUNTIFS(Record!$D$8:'Record'!$D$200,"male",Record!$L$8:'Record'!$L$200,"dead",Record!$W$8:'Record'!$W$200,"01 2025")</f>
        <v>0</v>
      </c>
      <c r="U67" s="86"/>
      <c r="V67" s="86"/>
    </row>
    <row r="68" spans="1:22" x14ac:dyDescent="0.35">
      <c r="A68" s="86"/>
      <c r="B68" s="95" t="s">
        <v>161</v>
      </c>
      <c r="C68" s="91">
        <f t="shared" ref="C68:C78" si="12">SUM($D68:$J68)</f>
        <v>0</v>
      </c>
      <c r="D68" s="96"/>
      <c r="E68" s="97">
        <f>COUNTIFS(Record!$D$8:'Record'!$D$200,"Female",Record!$L$8:'Record'!$L$200,"dead",Record!$W$8:'Record'!$W$200,"02 2020")</f>
        <v>0</v>
      </c>
      <c r="F68" s="97">
        <f>COUNTIFS(Record!$D$8:'Record'!$D$200,"Female",Record!$L$8:'Record'!$L$200,"dead",Record!$W$8:'Record'!$W$200,"02 2021")</f>
        <v>0</v>
      </c>
      <c r="G68" s="97">
        <f>COUNTIFS(Record!$D$8:'Record'!$D$200,"Female",Record!$L$8:'Record'!$L$200,"dead",Record!$W$8:'Record'!$W$200,"02 2022")</f>
        <v>0</v>
      </c>
      <c r="H68" s="97">
        <f>COUNTIFS(Record!$D$8:'Record'!$D$200,"Female",Record!$L$8:'Record'!$L$200,"dead",Record!$W$8:'Record'!$W$200,"02 2023")</f>
        <v>0</v>
      </c>
      <c r="I68" s="97">
        <f>COUNTIFS(Record!$D$8:'Record'!$D$200,"Female",Record!$L$8:'Record'!$L$200,"dead",Record!$W$8:'Record'!$W$200,"02 2024")</f>
        <v>0</v>
      </c>
      <c r="J68" s="98">
        <f>COUNTIFS(Record!$D$8:'Record'!$D$200,"Female",Record!$L$8:'Record'!$L$200,"dead",Record!$W$8:'Record'!$W$200,"02 2025")</f>
        <v>0</v>
      </c>
      <c r="K68" s="86"/>
      <c r="L68" s="95" t="s">
        <v>161</v>
      </c>
      <c r="M68" s="91">
        <f t="shared" ref="M68:M78" si="13">SUM($N68:$T68)</f>
        <v>0</v>
      </c>
      <c r="N68" s="96"/>
      <c r="O68" s="97">
        <f>COUNTIFS(Record!$D$8:'Record'!$D$200,"male",Record!$L$8:'Record'!$L$200,"dead",Record!$W$8:'Record'!$W$200,"02 2020")</f>
        <v>0</v>
      </c>
      <c r="P68" s="97">
        <f>COUNTIFS(Record!$D$8:'Record'!$D$200,"male",Record!$L$8:'Record'!$L$200,"dead",Record!$W$8:'Record'!$W$200,"02 2021")</f>
        <v>0</v>
      </c>
      <c r="Q68" s="97">
        <f>COUNTIFS(Record!$D$8:'Record'!$D$200,"male",Record!$L$8:'Record'!$L$200,"dead",Record!$W$8:'Record'!$W$200,"02 2022")</f>
        <v>0</v>
      </c>
      <c r="R68" s="97">
        <f>COUNTIFS(Record!$D$8:'Record'!$D$200,"male",Record!$L$8:'Record'!$L$200,"dead",Record!$W$8:'Record'!$W$200,"02 2023")</f>
        <v>0</v>
      </c>
      <c r="S68" s="97">
        <f>COUNTIFS(Record!$D$8:'Record'!$D$200,"male",Record!$L$8:'Record'!$L$200,"dead",Record!$W$8:'Record'!$W$200,"02 2024")</f>
        <v>0</v>
      </c>
      <c r="T68" s="98">
        <f>COUNTIFS(Record!$D$8:'Record'!$D$200,"male",Record!$L$8:'Record'!$L$200,"dead",Record!$W$8:'Record'!$W$200,"02 2025")</f>
        <v>0</v>
      </c>
      <c r="U68" s="86"/>
      <c r="V68" s="86"/>
    </row>
    <row r="69" spans="1:22" x14ac:dyDescent="0.35">
      <c r="A69" s="86"/>
      <c r="B69" s="95" t="s">
        <v>162</v>
      </c>
      <c r="C69" s="91">
        <f t="shared" si="12"/>
        <v>1</v>
      </c>
      <c r="D69" s="96"/>
      <c r="E69" s="97">
        <f>COUNTIFS(Record!$D$8:'Record'!$D$200,"Female",Record!$L$8:'Record'!$L$200,"dead",Record!$W$8:'Record'!$W$200,"03 2020")</f>
        <v>1</v>
      </c>
      <c r="F69" s="97">
        <f>COUNTIFS(Record!$D$8:'Record'!$D$200,"Female",Record!$L$8:'Record'!$L$200,"dead",Record!$W$8:'Record'!$W$200,"03 2021")</f>
        <v>0</v>
      </c>
      <c r="G69" s="97">
        <f>COUNTIFS(Record!$D$8:'Record'!$D$200,"Female",Record!$L$8:'Record'!$L$200,"dead",Record!$W$8:'Record'!$W$200,"03 2022")</f>
        <v>0</v>
      </c>
      <c r="H69" s="97">
        <f>COUNTIFS(Record!$D$8:'Record'!$D$200,"Female",Record!$L$8:'Record'!$L$200,"dead",Record!$W$8:'Record'!$W$200,"03 2023")</f>
        <v>0</v>
      </c>
      <c r="I69" s="97">
        <f>COUNTIFS(Record!$D$8:'Record'!$D$200,"Female",Record!$L$8:'Record'!$L$200,"dead",Record!$W$8:'Record'!$W$200,"03 2024")</f>
        <v>0</v>
      </c>
      <c r="J69" s="98">
        <f>COUNTIFS(Record!$D$8:'Record'!$D$200,"Female",Record!$L$8:'Record'!$L$200,"dead",Record!$W$8:'Record'!$W$200,"03 2025")</f>
        <v>0</v>
      </c>
      <c r="K69" s="86"/>
      <c r="L69" s="95" t="s">
        <v>162</v>
      </c>
      <c r="M69" s="91">
        <f t="shared" si="13"/>
        <v>2</v>
      </c>
      <c r="N69" s="96"/>
      <c r="O69" s="97">
        <f>COUNTIFS(Record!$D$8:'Record'!$D$200,"male",Record!$L$8:'Record'!$L$200,"dead",Record!$W$8:'Record'!$W$200,"03 2020")</f>
        <v>0</v>
      </c>
      <c r="P69" s="97">
        <f>COUNTIFS(Record!$D$8:'Record'!$D$200,"male",Record!$L$8:'Record'!$L$200,"dead",Record!$W$8:'Record'!$W$200,"03 2021")</f>
        <v>2</v>
      </c>
      <c r="Q69" s="97">
        <f>COUNTIFS(Record!$D$8:'Record'!$D$200,"male",Record!$L$8:'Record'!$L$200,"dead",Record!$W$8:'Record'!$W$200,"03 2022")</f>
        <v>0</v>
      </c>
      <c r="R69" s="97">
        <f>COUNTIFS(Record!$D$8:'Record'!$D$200,"male",Record!$L$8:'Record'!$L$200,"dead",Record!$W$8:'Record'!$W$200,"03 2023")</f>
        <v>0</v>
      </c>
      <c r="S69" s="97">
        <f>COUNTIFS(Record!$D$8:'Record'!$D$200,"male",Record!$L$8:'Record'!$L$200,"dead",Record!$W$8:'Record'!$W$200,"03 2024")</f>
        <v>0</v>
      </c>
      <c r="T69" s="98">
        <f>COUNTIFS(Record!$D$8:'Record'!$D$200,"male",Record!$L$8:'Record'!$L$200,"dead",Record!$W$8:'Record'!$W$200,"03 2025")</f>
        <v>0</v>
      </c>
      <c r="U69" s="86"/>
      <c r="V69" s="86"/>
    </row>
    <row r="70" spans="1:22" x14ac:dyDescent="0.35">
      <c r="A70" s="86"/>
      <c r="B70" s="95" t="s">
        <v>163</v>
      </c>
      <c r="C70" s="91">
        <f t="shared" si="12"/>
        <v>0</v>
      </c>
      <c r="D70" s="96"/>
      <c r="E70" s="97">
        <f>COUNTIFS(Record!$D$8:'Record'!$D$200,"Female",Record!$L$8:'Record'!$L$200,"dead",Record!$W$8:'Record'!$W$200,"04 2020")</f>
        <v>0</v>
      </c>
      <c r="F70" s="97">
        <f>COUNTIFS(Record!$D$8:'Record'!$D$200,"Female",Record!$L$8:'Record'!$L$200,"dead",Record!$W$8:'Record'!$W$200,"04 2021")</f>
        <v>0</v>
      </c>
      <c r="G70" s="97">
        <f>COUNTIFS(Record!$D$8:'Record'!$D$200,"Female",Record!$L$8:'Record'!$L$200,"dead",Record!$W$8:'Record'!$W$200,"04 2022")</f>
        <v>0</v>
      </c>
      <c r="H70" s="97">
        <f>COUNTIFS(Record!$D$8:'Record'!$D$200,"Female",Record!$L$8:'Record'!$L$200,"dead",Record!$W$8:'Record'!$W$200,"04 2023")</f>
        <v>0</v>
      </c>
      <c r="I70" s="97">
        <f>COUNTIFS(Record!$D$8:'Record'!$D$200,"Female",Record!$L$8:'Record'!$L$200,"dead",Record!$W$8:'Record'!$W$200,"04 2024")</f>
        <v>0</v>
      </c>
      <c r="J70" s="98">
        <f>COUNTIFS(Record!$D$8:'Record'!$D$200,"Female",Record!$L$8:'Record'!$L$200,"dead",Record!$W$8:'Record'!$W$200,"04 2025")</f>
        <v>0</v>
      </c>
      <c r="K70" s="86"/>
      <c r="L70" s="95" t="s">
        <v>163</v>
      </c>
      <c r="M70" s="91">
        <f t="shared" si="13"/>
        <v>0</v>
      </c>
      <c r="N70" s="96"/>
      <c r="O70" s="97">
        <f>COUNTIFS(Record!$D$8:'Record'!$D$200,"male",Record!$L$8:'Record'!$L$200,"dead",Record!$W$8:'Record'!$W$200,"04 2020")</f>
        <v>0</v>
      </c>
      <c r="P70" s="97">
        <f>COUNTIFS(Record!$D$8:'Record'!$D$200,"male",Record!$L$8:'Record'!$L$200,"dead",Record!$W$8:'Record'!$W$200,"04 2021")</f>
        <v>0</v>
      </c>
      <c r="Q70" s="97">
        <f>COUNTIFS(Record!$D$8:'Record'!$D$200,"male",Record!$L$8:'Record'!$L$200,"dead",Record!$W$8:'Record'!$W$200,"04 2022")</f>
        <v>0</v>
      </c>
      <c r="R70" s="97">
        <f>COUNTIFS(Record!$D$8:'Record'!$D$200,"male",Record!$L$8:'Record'!$L$200,"dead",Record!$W$8:'Record'!$W$200,"04 2023")</f>
        <v>0</v>
      </c>
      <c r="S70" s="97">
        <f>COUNTIFS(Record!$D$8:'Record'!$D$200,"male",Record!$L$8:'Record'!$L$200,"dead",Record!$W$8:'Record'!$W$200,"04 2024")</f>
        <v>0</v>
      </c>
      <c r="T70" s="98">
        <f>COUNTIFS(Record!$D$8:'Record'!$D$200,"male",Record!$L$8:'Record'!$L$200,"dead",Record!$W$8:'Record'!$W$200,"04 2025")</f>
        <v>0</v>
      </c>
      <c r="U70" s="86"/>
      <c r="V70" s="86"/>
    </row>
    <row r="71" spans="1:22" x14ac:dyDescent="0.35">
      <c r="A71" s="86"/>
      <c r="B71" s="95" t="s">
        <v>164</v>
      </c>
      <c r="C71" s="91">
        <f t="shared" si="12"/>
        <v>5</v>
      </c>
      <c r="D71" s="96"/>
      <c r="E71" s="97">
        <f>COUNTIFS(Record!$D$8:'Record'!$D$200,"Female",Record!$L$8:'Record'!$L$200,"dead",Record!$W$8:'Record'!$W$200,"05 2020")</f>
        <v>3</v>
      </c>
      <c r="F71" s="97">
        <f>COUNTIFS(Record!$D$8:'Record'!$D$200,"Female",Record!$L$8:'Record'!$L$200,"dead",Record!$W$8:'Record'!$W$200,"05 2021")</f>
        <v>2</v>
      </c>
      <c r="G71" s="97">
        <f>COUNTIFS(Record!$D$8:'Record'!$D$200,"Female",Record!$L$8:'Record'!$L$200,"dead",Record!$W$8:'Record'!$W$200,"05 2022")</f>
        <v>0</v>
      </c>
      <c r="H71" s="97">
        <f>COUNTIFS(Record!$D$8:'Record'!$D$200,"Female",Record!$L$8:'Record'!$L$200,"dead",Record!$W$8:'Record'!$W$200,"05 2023")</f>
        <v>0</v>
      </c>
      <c r="I71" s="97">
        <f>COUNTIFS(Record!$D$8:'Record'!$D$200,"Female",Record!$L$8:'Record'!$L$200,"dead",Record!$W$8:'Record'!$W$200,"05 2024")</f>
        <v>0</v>
      </c>
      <c r="J71" s="98">
        <f>COUNTIFS(Record!$D$8:'Record'!$D$200,"Female",Record!$L$8:'Record'!$L$200,"dead",Record!$W$8:'Record'!$W$200,"05 2025")</f>
        <v>0</v>
      </c>
      <c r="K71" s="86"/>
      <c r="L71" s="95" t="s">
        <v>164</v>
      </c>
      <c r="M71" s="91">
        <f t="shared" si="13"/>
        <v>1</v>
      </c>
      <c r="N71" s="96"/>
      <c r="O71" s="97">
        <f>COUNTIFS(Record!$D$8:'Record'!$D$200,"male",Record!$L$8:'Record'!$L$200,"dead",Record!$W$8:'Record'!$W$200,"05 2020")</f>
        <v>1</v>
      </c>
      <c r="P71" s="97">
        <f>COUNTIFS(Record!$D$8:'Record'!$D$200,"male",Record!$L$8:'Record'!$L$200,"dead",Record!$W$8:'Record'!$W$200,"05 2021")</f>
        <v>0</v>
      </c>
      <c r="Q71" s="97">
        <f>COUNTIFS(Record!$D$8:'Record'!$D$200,"male",Record!$L$8:'Record'!$L$200,"dead",Record!$W$8:'Record'!$W$200,"05 2022")</f>
        <v>0</v>
      </c>
      <c r="R71" s="97">
        <f>COUNTIFS(Record!$D$8:'Record'!$D$200,"male",Record!$L$8:'Record'!$L$200,"dead",Record!$W$8:'Record'!$W$200,"05 2023")</f>
        <v>0</v>
      </c>
      <c r="S71" s="97">
        <f>COUNTIFS(Record!$D$8:'Record'!$D$200,"male",Record!$L$8:'Record'!$L$200,"dead",Record!$W$8:'Record'!$W$200,"05 2024")</f>
        <v>0</v>
      </c>
      <c r="T71" s="98">
        <f>COUNTIFS(Record!$D$8:'Record'!$D$200,"male",Record!$L$8:'Record'!$L$200,"dead",Record!$W$8:'Record'!$W$200,"05 2025")</f>
        <v>0</v>
      </c>
      <c r="U71" s="86"/>
      <c r="V71" s="86"/>
    </row>
    <row r="72" spans="1:22" x14ac:dyDescent="0.35">
      <c r="A72" s="86"/>
      <c r="B72" s="95" t="s">
        <v>165</v>
      </c>
      <c r="C72" s="91">
        <f t="shared" si="12"/>
        <v>2</v>
      </c>
      <c r="D72" s="96"/>
      <c r="E72" s="97">
        <f>COUNTIFS(Record!$D$8:'Record'!$D$200,"Female",Record!$L$8:'Record'!$L$200,"dead",Record!$W$8:'Record'!$W$200,"06 2020")</f>
        <v>0</v>
      </c>
      <c r="F72" s="97">
        <f>COUNTIFS(Record!$D$8:'Record'!$D$200,"Female",Record!$L$8:'Record'!$L$200,"dead",Record!$W$8:'Record'!$W$200,"06 2021")</f>
        <v>1</v>
      </c>
      <c r="G72" s="97">
        <f>COUNTIFS(Record!$D$8:'Record'!$D$200,"Female",Record!$L$8:'Record'!$L$200,"dead",Record!$W$8:'Record'!$W$200,"06 2022")</f>
        <v>1</v>
      </c>
      <c r="H72" s="97">
        <f>COUNTIFS(Record!$D$8:'Record'!$D$200,"Female",Record!$L$8:'Record'!$L$200,"dead",Record!$W$8:'Record'!$W$200,"06 2023")</f>
        <v>0</v>
      </c>
      <c r="I72" s="97">
        <f>COUNTIFS(Record!$D$8:'Record'!$D$200,"Female",Record!$L$8:'Record'!$L$200,"dead",Record!$W$8:'Record'!$W$200,"06 2024")</f>
        <v>0</v>
      </c>
      <c r="J72" s="98">
        <f>COUNTIFS(Record!$D$8:'Record'!$D$200,"Female",Record!$L$8:'Record'!$L$200,"dead",Record!$W$8:'Record'!$W$200,"06 2025")</f>
        <v>0</v>
      </c>
      <c r="K72" s="86"/>
      <c r="L72" s="95" t="s">
        <v>165</v>
      </c>
      <c r="M72" s="91">
        <f t="shared" si="13"/>
        <v>1</v>
      </c>
      <c r="N72" s="96"/>
      <c r="O72" s="97">
        <f>COUNTIFS(Record!$D$8:'Record'!$D$200,"male",Record!$L$8:'Record'!$L$200,"dead",Record!$W$8:'Record'!$W$200,"06 2020")</f>
        <v>0</v>
      </c>
      <c r="P72" s="97">
        <f>COUNTIFS(Record!$D$8:'Record'!$D$200,"male",Record!$L$8:'Record'!$L$200,"dead",Record!$W$8:'Record'!$W$200,"06 2021")</f>
        <v>1</v>
      </c>
      <c r="Q72" s="97">
        <f>COUNTIFS(Record!$D$8:'Record'!$D$200,"male",Record!$L$8:'Record'!$L$200,"dead",Record!$W$8:'Record'!$W$200,"06 2022")</f>
        <v>0</v>
      </c>
      <c r="R72" s="97">
        <f>COUNTIFS(Record!$D$8:'Record'!$D$200,"male",Record!$L$8:'Record'!$L$200,"dead",Record!$W$8:'Record'!$W$200,"06 2023")</f>
        <v>0</v>
      </c>
      <c r="S72" s="97">
        <f>COUNTIFS(Record!$D$8:'Record'!$D$200,"male",Record!$L$8:'Record'!$L$200,"dead",Record!$W$8:'Record'!$W$200,"06 2024")</f>
        <v>0</v>
      </c>
      <c r="T72" s="98">
        <f>COUNTIFS(Record!$D$8:'Record'!$D$200,"male",Record!$L$8:'Record'!$L$200,"dead",Record!$W$8:'Record'!$W$200,"06 2025")</f>
        <v>0</v>
      </c>
      <c r="U72" s="86"/>
      <c r="V72" s="86"/>
    </row>
    <row r="73" spans="1:22" x14ac:dyDescent="0.35">
      <c r="A73" s="86"/>
      <c r="B73" s="95" t="s">
        <v>167</v>
      </c>
      <c r="C73" s="91">
        <f t="shared" si="12"/>
        <v>0</v>
      </c>
      <c r="D73" s="96"/>
      <c r="E73" s="97">
        <f>COUNTIFS(Record!$D$8:'Record'!$D$200,"Female",Record!$L$8:'Record'!$L$200,"dead",Record!$W$8:'Record'!$W$200,"07 2020")</f>
        <v>0</v>
      </c>
      <c r="F73" s="97">
        <f>COUNTIFS(Record!$D$8:'Record'!$D$200,"Female",Record!$L$8:'Record'!$L$200,"dead",Record!$W$8:'Record'!$W$200,"07 2021")</f>
        <v>0</v>
      </c>
      <c r="G73" s="97">
        <f>COUNTIFS(Record!$D$8:'Record'!$D$200,"Female",Record!$L$8:'Record'!$L$200,"dead",Record!$W$8:'Record'!$W$200,"07 2022")</f>
        <v>0</v>
      </c>
      <c r="H73" s="97">
        <f>COUNTIFS(Record!$D$8:'Record'!$D$200,"Female",Record!$L$8:'Record'!$L$200,"dead",Record!$W$8:'Record'!$W$200,"07 2023")</f>
        <v>0</v>
      </c>
      <c r="I73" s="97">
        <f>COUNTIFS(Record!$D$8:'Record'!$D$200,"Female",Record!$L$8:'Record'!$L$200,"dead",Record!$W$8:'Record'!$W$200,"07 2024")</f>
        <v>0</v>
      </c>
      <c r="J73" s="98">
        <f>COUNTIFS(Record!$D$8:'Record'!$D$200,"Female",Record!$L$8:'Record'!$L$200,"dead",Record!$W$8:'Record'!$W$200,"07 2025")</f>
        <v>0</v>
      </c>
      <c r="K73" s="86"/>
      <c r="L73" s="95" t="s">
        <v>167</v>
      </c>
      <c r="M73" s="91">
        <f t="shared" si="13"/>
        <v>3</v>
      </c>
      <c r="N73" s="96"/>
      <c r="O73" s="97">
        <f>COUNTIFS(Record!$D$8:'Record'!$D$200,"male",Record!$L$8:'Record'!$L$200,"dead",Record!$W$8:'Record'!$W$200,"07 2020")</f>
        <v>2</v>
      </c>
      <c r="P73" s="97">
        <f>COUNTIFS(Record!$D$8:'Record'!$D$200,"male",Record!$L$8:'Record'!$L$200,"dead",Record!$W$8:'Record'!$W$200,"07 2021")</f>
        <v>1</v>
      </c>
      <c r="Q73" s="97">
        <f>COUNTIFS(Record!$D$8:'Record'!$D$200,"male",Record!$L$8:'Record'!$L$200,"dead",Record!$W$8:'Record'!$W$200,"07 2022")</f>
        <v>0</v>
      </c>
      <c r="R73" s="97">
        <f>COUNTIFS(Record!$D$8:'Record'!$D$200,"male",Record!$L$8:'Record'!$L$200,"dead",Record!$W$8:'Record'!$W$200,"07 2023")</f>
        <v>0</v>
      </c>
      <c r="S73" s="97">
        <f>COUNTIFS(Record!$D$8:'Record'!$D$200,"male",Record!$L$8:'Record'!$L$200,"dead",Record!$W$8:'Record'!$W$200,"07 2024")</f>
        <v>0</v>
      </c>
      <c r="T73" s="98">
        <f>COUNTIFS(Record!$D$8:'Record'!$D$200,"male",Record!$L$8:'Record'!$L$200,"dead",Record!$W$8:'Record'!$W$200,"07 2025")</f>
        <v>0</v>
      </c>
      <c r="U73" s="86"/>
      <c r="V73" s="86"/>
    </row>
    <row r="74" spans="1:22" x14ac:dyDescent="0.35">
      <c r="A74" s="86"/>
      <c r="B74" s="95" t="s">
        <v>168</v>
      </c>
      <c r="C74" s="91">
        <f t="shared" si="12"/>
        <v>0</v>
      </c>
      <c r="D74" s="96"/>
      <c r="E74" s="97">
        <f>COUNTIFS(Record!$D$8:'Record'!$D$200,"Female",Record!$L$8:'Record'!$L$200,"dead",Record!$W$8:'Record'!$W$200,"08 2020")</f>
        <v>0</v>
      </c>
      <c r="F74" s="97">
        <f>COUNTIFS(Record!$D$8:'Record'!$D$200,"Female",Record!$L$8:'Record'!$L$200,"dead",Record!$W$8:'Record'!$W$200,"08 2021")</f>
        <v>0</v>
      </c>
      <c r="G74" s="97">
        <f>COUNTIFS(Record!$D$8:'Record'!$D$200,"Female",Record!$L$8:'Record'!$L$200,"dead",Record!$W$8:'Record'!$W$200,"08 2022")</f>
        <v>0</v>
      </c>
      <c r="H74" s="97">
        <f>COUNTIFS(Record!$D$8:'Record'!$D$200,"Female",Record!$L$8:'Record'!$L$200,"dead",Record!$W$8:'Record'!$W$200,"08 2023")</f>
        <v>0</v>
      </c>
      <c r="I74" s="97">
        <f>COUNTIFS(Record!$D$8:'Record'!$D$200,"Female",Record!$L$8:'Record'!$L$200,"dead",Record!$W$8:'Record'!$W$200,"08 2024")</f>
        <v>0</v>
      </c>
      <c r="J74" s="98">
        <f>COUNTIFS(Record!$D$8:'Record'!$D$200,"Female",Record!$L$8:'Record'!$L$200,"dead",Record!$W$8:'Record'!$W$200,"08 2025")</f>
        <v>0</v>
      </c>
      <c r="K74" s="86"/>
      <c r="L74" s="95" t="s">
        <v>168</v>
      </c>
      <c r="M74" s="91">
        <f t="shared" si="13"/>
        <v>0</v>
      </c>
      <c r="N74" s="96"/>
      <c r="O74" s="97">
        <f>COUNTIFS(Record!$D$8:'Record'!$D$200,"male",Record!$L$8:'Record'!$L$200,"dead",Record!$W$8:'Record'!$W$200,"08 2020")</f>
        <v>0</v>
      </c>
      <c r="P74" s="97">
        <f>COUNTIFS(Record!$D$8:'Record'!$D$200,"male",Record!$L$8:'Record'!$L$200,"dead",Record!$W$8:'Record'!$W$200,"08 2021")</f>
        <v>0</v>
      </c>
      <c r="Q74" s="97">
        <f>COUNTIFS(Record!$D$8:'Record'!$D$200,"male",Record!$L$8:'Record'!$L$200,"dead",Record!$W$8:'Record'!$W$200,"08 2022")</f>
        <v>0</v>
      </c>
      <c r="R74" s="97">
        <f>COUNTIFS(Record!$D$8:'Record'!$D$200,"male",Record!$L$8:'Record'!$L$200,"dead",Record!$W$8:'Record'!$W$200,"08 2023")</f>
        <v>0</v>
      </c>
      <c r="S74" s="97">
        <f>COUNTIFS(Record!$D$8:'Record'!$D$200,"male",Record!$L$8:'Record'!$L$200,"dead",Record!$W$8:'Record'!$W$200,"08 2024")</f>
        <v>0</v>
      </c>
      <c r="T74" s="98">
        <f>COUNTIFS(Record!$D$8:'Record'!$D$200,"male",Record!$L$8:'Record'!$L$200,"dead",Record!$W$8:'Record'!$W$200,"08 2025")</f>
        <v>0</v>
      </c>
      <c r="U74" s="86"/>
      <c r="V74" s="86"/>
    </row>
    <row r="75" spans="1:22" x14ac:dyDescent="0.35">
      <c r="A75" s="86"/>
      <c r="B75" s="95" t="s">
        <v>169</v>
      </c>
      <c r="C75" s="91">
        <f t="shared" si="12"/>
        <v>0</v>
      </c>
      <c r="D75" s="96"/>
      <c r="E75" s="97">
        <f>COUNTIFS(Record!$D$8:'Record'!$D$200,"Female",Record!$L$8:'Record'!$L$200,"dead",Record!$W$8:'Record'!$W$200,"09 2020")</f>
        <v>0</v>
      </c>
      <c r="F75" s="97">
        <f>COUNTIFS(Record!$D$8:'Record'!$D$200,"Female",Record!$L$8:'Record'!$L$200,"dead",Record!$W$8:'Record'!$W$200,"09 2021")</f>
        <v>0</v>
      </c>
      <c r="G75" s="97">
        <f>COUNTIFS(Record!$D$8:'Record'!$D$200,"Female",Record!$L$8:'Record'!$L$200,"dead",Record!$W$8:'Record'!$W$200,"09 2022")</f>
        <v>0</v>
      </c>
      <c r="H75" s="97">
        <f>COUNTIFS(Record!$D$8:'Record'!$D$200,"Female",Record!$L$8:'Record'!$L$200,"dead",Record!$W$8:'Record'!$W$200,"09 2023")</f>
        <v>0</v>
      </c>
      <c r="I75" s="97">
        <f>COUNTIFS(Record!$D$8:'Record'!$D$200,"Female",Record!$L$8:'Record'!$L$200,"dead",Record!$W$8:'Record'!$W$200,"09 2024")</f>
        <v>0</v>
      </c>
      <c r="J75" s="98">
        <f>COUNTIFS(Record!$D$8:'Record'!$D$200,"Female",Record!$L$8:'Record'!$L$200,"dead",Record!$W$8:'Record'!$W$200,"09 2025")</f>
        <v>0</v>
      </c>
      <c r="K75" s="86"/>
      <c r="L75" s="95" t="s">
        <v>169</v>
      </c>
      <c r="M75" s="91">
        <f t="shared" si="13"/>
        <v>2</v>
      </c>
      <c r="N75" s="96"/>
      <c r="O75" s="97">
        <f>COUNTIFS(Record!$D$8:'Record'!$D$200,"male",Record!$L$8:'Record'!$L$200,"dead",Record!$W$8:'Record'!$W$200,"09 2020")</f>
        <v>2</v>
      </c>
      <c r="P75" s="97">
        <f>COUNTIFS(Record!$D$8:'Record'!$D$200,"male",Record!$L$8:'Record'!$L$200,"dead",Record!$W$8:'Record'!$W$200,"09 2021")</f>
        <v>0</v>
      </c>
      <c r="Q75" s="97">
        <f>COUNTIFS(Record!$D$8:'Record'!$D$200,"male",Record!$L$8:'Record'!$L$200,"dead",Record!$W$8:'Record'!$W$200,"09 2022")</f>
        <v>0</v>
      </c>
      <c r="R75" s="97">
        <f>COUNTIFS(Record!$D$8:'Record'!$D$200,"male",Record!$L$8:'Record'!$L$200,"dead",Record!$W$8:'Record'!$W$200,"09 2023")</f>
        <v>0</v>
      </c>
      <c r="S75" s="97">
        <f>COUNTIFS(Record!$D$8:'Record'!$D$200,"male",Record!$L$8:'Record'!$L$200,"dead",Record!$W$8:'Record'!$W$200,"09 2024")</f>
        <v>0</v>
      </c>
      <c r="T75" s="98">
        <f>COUNTIFS(Record!$D$8:'Record'!$D$200,"male",Record!$L$8:'Record'!$L$200,"dead",Record!$W$8:'Record'!$W$200,"09 2025")</f>
        <v>0</v>
      </c>
      <c r="U75" s="86"/>
      <c r="V75" s="86"/>
    </row>
    <row r="76" spans="1:22" x14ac:dyDescent="0.35">
      <c r="A76" s="86"/>
      <c r="B76" s="95" t="s">
        <v>170</v>
      </c>
      <c r="C76" s="91">
        <f t="shared" si="12"/>
        <v>3</v>
      </c>
      <c r="D76" s="96"/>
      <c r="E76" s="97">
        <f>COUNTIFS(Record!$D$8:'Record'!$D$200,"Female",Record!$L$8:'Record'!$L$200,"dead",Record!$W$8:'Record'!$W$200,"10 2020")</f>
        <v>3</v>
      </c>
      <c r="F76" s="97">
        <f>COUNTIFS(Record!$D$8:'Record'!$D$200,"Female",Record!$L$8:'Record'!$L$200,"dead",Record!$W$8:'Record'!$W$200,"10 2021")</f>
        <v>0</v>
      </c>
      <c r="G76" s="97">
        <f>COUNTIFS(Record!$D$8:'Record'!$D$200,"Female",Record!$L$8:'Record'!$L$200,"dead",Record!$W$8:'Record'!$W$200,"10 2022")</f>
        <v>0</v>
      </c>
      <c r="H76" s="97">
        <f>COUNTIFS(Record!$D$8:'Record'!$D$200,"Female",Record!$L$8:'Record'!$L$200,"dead",Record!$W$8:'Record'!$W$200,"10 2023")</f>
        <v>0</v>
      </c>
      <c r="I76" s="97">
        <f>COUNTIFS(Record!$D$8:'Record'!$D$200,"Female",Record!$L$8:'Record'!$L$200,"dead",Record!$W$8:'Record'!$W$200,"10 2024")</f>
        <v>0</v>
      </c>
      <c r="J76" s="98">
        <f>COUNTIFS(Record!$D$8:'Record'!$D$200,"Female",Record!$L$8:'Record'!$L$200,"dead",Record!$W$8:'Record'!$W$200,"10 2025")</f>
        <v>0</v>
      </c>
      <c r="K76" s="86"/>
      <c r="L76" s="95" t="s">
        <v>170</v>
      </c>
      <c r="M76" s="91">
        <f t="shared" si="13"/>
        <v>1</v>
      </c>
      <c r="N76" s="96"/>
      <c r="O76" s="97">
        <f>COUNTIFS(Record!$D$8:'Record'!$D$200,"male",Record!$L$8:'Record'!$L$200,"dead",Record!$W$8:'Record'!$W$200,"10 2020")</f>
        <v>1</v>
      </c>
      <c r="P76" s="97">
        <f>COUNTIFS(Record!$D$8:'Record'!$D$200,"male",Record!$L$8:'Record'!$L$200,"dead",Record!$W$8:'Record'!$W$200,"10 2021")</f>
        <v>0</v>
      </c>
      <c r="Q76" s="97">
        <f>COUNTIFS(Record!$D$8:'Record'!$D$200,"male",Record!$L$8:'Record'!$L$200,"dead",Record!$W$8:'Record'!$W$200,"10 2022")</f>
        <v>0</v>
      </c>
      <c r="R76" s="97">
        <f>COUNTIFS(Record!$D$8:'Record'!$D$200,"male",Record!$L$8:'Record'!$L$200,"dead",Record!$W$8:'Record'!$W$200,"10 2023")</f>
        <v>0</v>
      </c>
      <c r="S76" s="97">
        <f>COUNTIFS(Record!$D$8:'Record'!$D$200,"male",Record!$L$8:'Record'!$L$200,"dead",Record!$W$8:'Record'!$W$200,"10 2024")</f>
        <v>0</v>
      </c>
      <c r="T76" s="98">
        <f>COUNTIFS(Record!$D$8:'Record'!$D$200,"male",Record!$L$8:'Record'!$L$200,"dead",Record!$W$8:'Record'!$W$200,"10 2025")</f>
        <v>0</v>
      </c>
      <c r="U76" s="86"/>
      <c r="V76" s="86"/>
    </row>
    <row r="77" spans="1:22" x14ac:dyDescent="0.35">
      <c r="A77" s="86"/>
      <c r="B77" s="95" t="s">
        <v>171</v>
      </c>
      <c r="C77" s="91">
        <f t="shared" si="12"/>
        <v>0</v>
      </c>
      <c r="D77" s="96"/>
      <c r="E77" s="97">
        <f>COUNTIFS(Record!$D$8:'Record'!$D$200,"Female",Record!$L$8:'Record'!$L$200,"dead",Record!$W$8:'Record'!$W$200,"11 2020")</f>
        <v>0</v>
      </c>
      <c r="F77" s="97">
        <f>COUNTIFS(Record!$D$8:'Record'!$D$200,"Female",Record!$L$8:'Record'!$L$200,"dead",Record!$W$8:'Record'!$W$200,"11 2021")</f>
        <v>0</v>
      </c>
      <c r="G77" s="97">
        <f>COUNTIFS(Record!$D$8:'Record'!$D$200,"Female",Record!$L$8:'Record'!$L$200,"dead",Record!$W$8:'Record'!$W$200,"11 2022")</f>
        <v>0</v>
      </c>
      <c r="H77" s="97">
        <f>COUNTIFS(Record!$D$8:'Record'!$D$200,"Female",Record!$L$8:'Record'!$L$200,"dead",Record!$W$8:'Record'!$W$200,"11 2023")</f>
        <v>0</v>
      </c>
      <c r="I77" s="97">
        <f>COUNTIFS(Record!$D$8:'Record'!$D$200,"Female",Record!$L$8:'Record'!$L$200,"dead",Record!$W$8:'Record'!$W$200,"11 2024")</f>
        <v>0</v>
      </c>
      <c r="J77" s="98">
        <f>COUNTIFS(Record!$D$8:'Record'!$D$200,"Female",Record!$L$8:'Record'!$L$200,"dead",Record!$W$8:'Record'!$W$200,"11 2025")</f>
        <v>0</v>
      </c>
      <c r="K77" s="86"/>
      <c r="L77" s="95" t="s">
        <v>171</v>
      </c>
      <c r="M77" s="91">
        <f t="shared" si="13"/>
        <v>0</v>
      </c>
      <c r="N77" s="96"/>
      <c r="O77" s="97">
        <f>COUNTIFS(Record!$D$8:'Record'!$D$200,"male",Record!$L$8:'Record'!$L$200,"dead",Record!$W$8:'Record'!$W$200,"11 2020")</f>
        <v>0</v>
      </c>
      <c r="P77" s="97">
        <f>COUNTIFS(Record!$D$8:'Record'!$D$200,"male",Record!$L$8:'Record'!$L$200,"dead",Record!$W$8:'Record'!$W$200,"11 2021")</f>
        <v>0</v>
      </c>
      <c r="Q77" s="97">
        <f>COUNTIFS(Record!$D$8:'Record'!$D$200,"male",Record!$L$8:'Record'!$L$200,"dead",Record!$W$8:'Record'!$W$200,"11 2022")</f>
        <v>0</v>
      </c>
      <c r="R77" s="97">
        <f>COUNTIFS(Record!$D$8:'Record'!$D$200,"male",Record!$L$8:'Record'!$L$200,"dead",Record!$W$8:'Record'!$W$200,"11 2023")</f>
        <v>0</v>
      </c>
      <c r="S77" s="97">
        <f>COUNTIFS(Record!$D$8:'Record'!$D$200,"male",Record!$L$8:'Record'!$L$200,"dead",Record!$W$8:'Record'!$W$200,"11 2024")</f>
        <v>0</v>
      </c>
      <c r="T77" s="98">
        <f>COUNTIFS(Record!$D$8:'Record'!$D$200,"male",Record!$L$8:'Record'!$L$200,"dead",Record!$W$8:'Record'!$W$200,"11 2025")</f>
        <v>0</v>
      </c>
      <c r="U77" s="86"/>
      <c r="V77" s="86"/>
    </row>
    <row r="78" spans="1:22" ht="16" thickBot="1" x14ac:dyDescent="0.4">
      <c r="A78" s="86"/>
      <c r="B78" s="99" t="s">
        <v>172</v>
      </c>
      <c r="C78" s="100">
        <f t="shared" si="12"/>
        <v>3</v>
      </c>
      <c r="D78" s="101">
        <f>COUNTIFS(Record!$D$8:'Record'!$D$200,"Female",Record!$L$8:'Record'!$L$200,"dead",Record!$W$8:'Record'!$W$200,"12 2019")</f>
        <v>3</v>
      </c>
      <c r="E78" s="102">
        <f>COUNTIFS(Record!$D$8:'Record'!$D$200,"Female",Record!$L$8:'Record'!$L$200,"dead",Record!$W$8:'Record'!$W$200,"12 2020")</f>
        <v>0</v>
      </c>
      <c r="F78" s="102">
        <f>COUNTIFS(Record!$D$8:'Record'!$D$200,"Female",Record!$L$8:'Record'!$L$200,"dead",Record!$W$8:'Record'!$W$200,"12 2021")</f>
        <v>0</v>
      </c>
      <c r="G78" s="102">
        <f>COUNTIFS(Record!$D$8:'Record'!$D$200,"Female",Record!$L$8:'Record'!$L$200,"dead",Record!$W$8:'Record'!$W$200,"12 2022")</f>
        <v>0</v>
      </c>
      <c r="H78" s="102">
        <f>COUNTIFS(Record!$D$8:'Record'!$D$200,"Female",Record!$L$8:'Record'!$L$200,"dead",Record!$W$8:'Record'!$W$200,"12 2023")</f>
        <v>0</v>
      </c>
      <c r="I78" s="102">
        <f>COUNTIFS(Record!$D$8:'Record'!$D$200,"Female",Record!$L$8:'Record'!$L$200,"dead",Record!$W$8:'Record'!$W$200,"12 2024")</f>
        <v>0</v>
      </c>
      <c r="J78" s="103">
        <f>COUNTIFS(Record!$D$8:'Record'!$D$200,"Female",Record!$L$8:'Record'!$L$200,"dead",Record!$W$8:'Record'!$W$200,"12 2025")</f>
        <v>0</v>
      </c>
      <c r="K78" s="86"/>
      <c r="L78" s="99" t="s">
        <v>172</v>
      </c>
      <c r="M78" s="91">
        <f t="shared" si="13"/>
        <v>3</v>
      </c>
      <c r="N78" s="101">
        <f>COUNTIFS(Record!$D$8:'Record'!$D$200,"male",Record!$F$8:'Record'!$F$200,"bought",Record!$W$8:'Record'!$W$200,"12 2019")</f>
        <v>1</v>
      </c>
      <c r="O78" s="102">
        <f>COUNTIFS(Record!$D$8:'Record'!$D$200,"male",Record!$L$8:'Record'!$L$200,"dead",Record!$W$8:'Record'!$W$200,"12 2020")</f>
        <v>1</v>
      </c>
      <c r="P78" s="102">
        <f>COUNTIFS(Record!$D$8:'Record'!$D$200,"male",Record!$L$8:'Record'!$L$200,"dead",Record!$W$8:'Record'!$W$200,"12 2021")</f>
        <v>1</v>
      </c>
      <c r="Q78" s="102">
        <f>COUNTIFS(Record!$D$8:'Record'!$D$200,"male",Record!$L$8:'Record'!$L$200,"dead",Record!$W$8:'Record'!$W$200,"12 2022")</f>
        <v>0</v>
      </c>
      <c r="R78" s="102">
        <f>COUNTIFS(Record!$D$8:'Record'!$D$200,"male",Record!$L$8:'Record'!$L$200,"dead",Record!$W$8:'Record'!$W$200,"12 2023")</f>
        <v>0</v>
      </c>
      <c r="S78" s="102">
        <f>COUNTIFS(Record!$D$8:'Record'!$D$200,"male",Record!$L$8:'Record'!$L$200,"dead",Record!$W$8:'Record'!$W$200,"12 2024")</f>
        <v>0</v>
      </c>
      <c r="T78" s="103">
        <f>COUNTIFS(Record!$D$8:'Record'!$D$200,"male",Record!$L$8:'Record'!$L$200,"dead",Record!$W$8:'Record'!$W$200,"12 2025")</f>
        <v>0</v>
      </c>
      <c r="U78" s="86"/>
      <c r="V78" s="86"/>
    </row>
    <row r="79" spans="1:22" ht="16" thickBot="1" x14ac:dyDescent="0.4">
      <c r="A79" s="86"/>
      <c r="B79" s="104" t="s">
        <v>173</v>
      </c>
      <c r="C79" s="109">
        <f>SUM(C67:C78)</f>
        <v>15</v>
      </c>
      <c r="D79" s="109">
        <f>SUM(D67:D78)</f>
        <v>3</v>
      </c>
      <c r="E79" s="109">
        <f t="shared" ref="E79:J79" si="14">SUM(E67:E78)</f>
        <v>8</v>
      </c>
      <c r="F79" s="109">
        <f t="shared" si="14"/>
        <v>3</v>
      </c>
      <c r="G79" s="109">
        <f t="shared" si="14"/>
        <v>1</v>
      </c>
      <c r="H79" s="109">
        <f t="shared" si="14"/>
        <v>0</v>
      </c>
      <c r="I79" s="109">
        <f t="shared" si="14"/>
        <v>0</v>
      </c>
      <c r="J79" s="109">
        <f t="shared" si="14"/>
        <v>0</v>
      </c>
      <c r="K79" s="86"/>
      <c r="L79" s="104" t="s">
        <v>173</v>
      </c>
      <c r="M79" s="109">
        <f>SUM(M67:M78)</f>
        <v>14</v>
      </c>
      <c r="N79" s="109">
        <f>SUM(N67:N78)</f>
        <v>1</v>
      </c>
      <c r="O79" s="109">
        <f t="shared" ref="O79:T79" si="15">SUM(O67:O78)</f>
        <v>7</v>
      </c>
      <c r="P79" s="109">
        <f t="shared" si="15"/>
        <v>6</v>
      </c>
      <c r="Q79" s="109">
        <f t="shared" si="15"/>
        <v>0</v>
      </c>
      <c r="R79" s="109">
        <f t="shared" si="15"/>
        <v>0</v>
      </c>
      <c r="S79" s="109">
        <f t="shared" si="15"/>
        <v>0</v>
      </c>
      <c r="T79" s="109">
        <f t="shared" si="15"/>
        <v>0</v>
      </c>
      <c r="U79" s="86"/>
      <c r="V79" s="86"/>
    </row>
    <row r="80" spans="1:22" x14ac:dyDescent="0.3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1:22" x14ac:dyDescent="0.3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1:22" x14ac:dyDescent="0.35">
      <c r="A82" s="86"/>
      <c r="B82" s="112">
        <v>44081</v>
      </c>
      <c r="C82" s="86" t="s">
        <v>189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1:22" x14ac:dyDescent="0.35">
      <c r="A83" s="86"/>
      <c r="B83" s="86"/>
      <c r="C83" s="57" t="s">
        <v>140</v>
      </c>
      <c r="D83" s="57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1:22" x14ac:dyDescent="0.35">
      <c r="A84" s="86"/>
      <c r="B84" s="86"/>
      <c r="C84" s="86" t="s">
        <v>193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1:22" x14ac:dyDescent="0.3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1:22" x14ac:dyDescent="0.35">
      <c r="A86" s="86"/>
      <c r="B86" s="112">
        <v>44581</v>
      </c>
      <c r="C86" s="86" t="s">
        <v>190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  <row r="87" spans="1:22" x14ac:dyDescent="0.35">
      <c r="A87" s="86"/>
      <c r="B87" s="112"/>
      <c r="C87" s="86" t="s">
        <v>188</v>
      </c>
      <c r="D87" s="86"/>
      <c r="E87" s="86"/>
      <c r="F87" s="86"/>
      <c r="G87" s="86"/>
      <c r="H87" s="113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1:22" x14ac:dyDescent="0.35">
      <c r="A88" s="86"/>
      <c r="B88" s="112"/>
      <c r="C88" s="86" t="s">
        <v>195</v>
      </c>
      <c r="D88" s="86"/>
      <c r="E88" s="86"/>
      <c r="F88" s="86"/>
      <c r="G88" s="86"/>
      <c r="H88" s="113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</row>
    <row r="89" spans="1:22" x14ac:dyDescent="0.35">
      <c r="A89" s="86"/>
      <c r="B89" s="86"/>
      <c r="C89" s="86"/>
      <c r="D89" s="86"/>
      <c r="E89" s="86"/>
      <c r="F89" s="86"/>
      <c r="G89" s="86"/>
      <c r="H89" s="113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</row>
    <row r="90" spans="1:22" x14ac:dyDescent="0.35">
      <c r="A90" s="86"/>
      <c r="B90" s="112">
        <v>44942</v>
      </c>
      <c r="C90" s="86" t="s">
        <v>191</v>
      </c>
      <c r="D90" s="86"/>
      <c r="E90" s="86"/>
      <c r="F90" s="86"/>
      <c r="G90" s="86"/>
      <c r="H90" s="113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</row>
    <row r="91" spans="1:22" x14ac:dyDescent="0.35">
      <c r="A91" s="86"/>
      <c r="B91" s="86"/>
      <c r="C91" s="113" t="s">
        <v>198</v>
      </c>
      <c r="D91" s="86"/>
      <c r="E91" s="86"/>
      <c r="F91" s="86"/>
      <c r="G91" s="86"/>
      <c r="H91" s="113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</row>
    <row r="92" spans="1:22" x14ac:dyDescent="0.35">
      <c r="A92" s="86"/>
      <c r="B92" s="86"/>
      <c r="C92" s="113" t="s">
        <v>194</v>
      </c>
      <c r="D92" s="86"/>
      <c r="E92" s="86"/>
      <c r="F92" s="86"/>
      <c r="G92" s="86"/>
      <c r="H92" s="113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</row>
    <row r="93" spans="1:22" x14ac:dyDescent="0.3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</row>
    <row r="94" spans="1:22" x14ac:dyDescent="0.35">
      <c r="A94" s="86"/>
      <c r="B94" s="112">
        <v>44950</v>
      </c>
      <c r="C94" s="86" t="s">
        <v>197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</row>
    <row r="95" spans="1:22" x14ac:dyDescent="0.35">
      <c r="A95" s="86"/>
      <c r="B95" s="86"/>
      <c r="C95" s="86" t="s">
        <v>192</v>
      </c>
      <c r="D95" s="86"/>
      <c r="E95" s="86"/>
      <c r="F95" s="86"/>
      <c r="G95" s="86"/>
      <c r="H95" s="86"/>
      <c r="I95" s="86"/>
      <c r="J95" s="113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</row>
    <row r="96" spans="1:22" x14ac:dyDescent="0.35">
      <c r="A96" s="86"/>
      <c r="B96" s="86"/>
      <c r="C96" s="86" t="s">
        <v>196</v>
      </c>
      <c r="D96" s="86"/>
      <c r="E96" s="86"/>
      <c r="F96" s="86"/>
      <c r="G96" s="86"/>
      <c r="H96" s="86"/>
      <c r="I96" s="86"/>
      <c r="J96" s="113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</row>
    <row r="97" spans="1:22" x14ac:dyDescent="0.3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</row>
    <row r="98" spans="1:22" x14ac:dyDescent="0.3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</row>
    <row r="99" spans="1:22" x14ac:dyDescent="0.3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</row>
  </sheetData>
  <pageMargins left="0.7" right="0.7" top="0.75" bottom="0.75" header="0.3" footer="0.3"/>
  <pageSetup orientation="portrait" horizontalDpi="4294967293" verticalDpi="0" r:id="rId1"/>
  <ignoredErrors>
    <ignoredError sqref="N31 Q63 D79 N79" formulaRange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List!$F$7:$F$8</xm:f>
          </x14:formula1>
          <xm:sqref>L5 L3</xm:sqref>
        </x14:dataValidation>
        <x14:dataValidation type="list" allowBlank="1" showInputMessage="1" showErrorMessage="1">
          <x14:formula1>
            <xm:f>List!$G$7:$G$16</xm:f>
          </x14:formula1>
          <xm:sqref>L95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T78"/>
  <sheetViews>
    <sheetView tabSelected="1" workbookViewId="0">
      <selection activeCell="K16" sqref="K16:M17"/>
    </sheetView>
  </sheetViews>
  <sheetFormatPr defaultRowHeight="15.5" x14ac:dyDescent="0.35"/>
  <cols>
    <col min="1" max="1" width="3.4609375" customWidth="1"/>
    <col min="2" max="2" width="4.61328125" customWidth="1"/>
    <col min="3" max="3" width="10.61328125" customWidth="1"/>
    <col min="4" max="4" width="10.07421875" bestFit="1" customWidth="1"/>
    <col min="5" max="5" width="13.07421875" customWidth="1"/>
    <col min="6" max="6" width="11.07421875" customWidth="1"/>
    <col min="7" max="7" width="23.69140625" style="220" customWidth="1"/>
    <col min="8" max="8" width="7.07421875" customWidth="1"/>
    <col min="9" max="9" width="4.23046875" customWidth="1"/>
    <col min="12" max="12" width="10.07421875" bestFit="1" customWidth="1"/>
    <col min="13" max="13" width="7.07421875" customWidth="1"/>
    <col min="14" max="14" width="15.61328125" customWidth="1"/>
    <col min="16" max="16" width="13" customWidth="1"/>
    <col min="17" max="17" width="18.4609375" customWidth="1"/>
    <col min="18" max="18" width="15.07421875" customWidth="1"/>
  </cols>
  <sheetData>
    <row r="1" spans="1:20" x14ac:dyDescent="0.35">
      <c r="A1" s="10"/>
      <c r="B1" s="10"/>
      <c r="C1" s="10"/>
      <c r="D1" s="10"/>
      <c r="E1" s="10"/>
      <c r="F1" s="10"/>
      <c r="G1" s="22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x14ac:dyDescent="0.35">
      <c r="A2" s="10"/>
      <c r="B2" s="10"/>
      <c r="C2" s="10"/>
      <c r="D2" s="10"/>
      <c r="E2" s="10"/>
      <c r="F2" s="10"/>
      <c r="G2" s="225"/>
      <c r="H2" s="10"/>
      <c r="I2" s="10"/>
      <c r="J2" s="10"/>
      <c r="K2" s="10"/>
      <c r="L2" s="10"/>
      <c r="M2" s="10">
        <v>17</v>
      </c>
      <c r="N2" s="10"/>
      <c r="O2" s="10"/>
      <c r="P2" s="10"/>
      <c r="Q2" s="10"/>
      <c r="R2" s="10"/>
      <c r="S2" s="10"/>
      <c r="T2" s="10"/>
    </row>
    <row r="3" spans="1:20" x14ac:dyDescent="0.35">
      <c r="A3" s="10"/>
      <c r="B3" s="10"/>
      <c r="C3" s="10"/>
      <c r="D3" s="10"/>
      <c r="E3" s="10"/>
      <c r="F3" s="10"/>
      <c r="G3" s="225"/>
      <c r="H3" s="10"/>
      <c r="I3" s="10"/>
      <c r="J3" s="10"/>
      <c r="K3" s="10"/>
      <c r="L3" s="10"/>
      <c r="M3" s="10"/>
      <c r="N3" s="10"/>
      <c r="O3" s="10"/>
      <c r="P3" s="10" t="s">
        <v>0</v>
      </c>
      <c r="Q3" s="10" t="s">
        <v>239</v>
      </c>
      <c r="R3" s="9" t="s">
        <v>4</v>
      </c>
      <c r="S3" s="10"/>
      <c r="T3" s="10" t="s">
        <v>0</v>
      </c>
    </row>
    <row r="4" spans="1:20" ht="16" thickBot="1" x14ac:dyDescent="0.4">
      <c r="A4" s="10"/>
      <c r="B4" s="10"/>
      <c r="C4" s="10"/>
      <c r="D4" s="223"/>
      <c r="E4" s="224"/>
      <c r="F4" s="223"/>
      <c r="G4" s="225"/>
      <c r="H4" s="10"/>
      <c r="I4" s="10"/>
      <c r="J4" s="10"/>
      <c r="K4" s="10"/>
      <c r="L4" s="10"/>
      <c r="M4" s="10"/>
      <c r="N4" s="10"/>
      <c r="O4" s="10"/>
      <c r="P4" s="10"/>
      <c r="Q4" s="9">
        <v>1</v>
      </c>
      <c r="R4" s="9">
        <v>2</v>
      </c>
      <c r="S4" s="10">
        <v>3</v>
      </c>
      <c r="T4" s="10">
        <v>4</v>
      </c>
    </row>
    <row r="5" spans="1:20" ht="15.5" customHeight="1" x14ac:dyDescent="0.35">
      <c r="A5" s="15"/>
      <c r="B5" s="301" t="s">
        <v>74</v>
      </c>
      <c r="C5" s="303" t="s">
        <v>43</v>
      </c>
      <c r="D5" s="303" t="s">
        <v>81</v>
      </c>
      <c r="E5" s="305" t="s">
        <v>2</v>
      </c>
      <c r="F5" s="305" t="s">
        <v>35</v>
      </c>
      <c r="G5" s="303" t="s">
        <v>77</v>
      </c>
      <c r="H5" s="299" t="s">
        <v>69</v>
      </c>
      <c r="I5" s="10"/>
      <c r="J5" s="287" t="str">
        <f>VLOOKUP($M$2,List!$B$7:'List'!$S$100,8,0)</f>
        <v>Lady-Pink</v>
      </c>
      <c r="K5" s="288"/>
      <c r="L5" s="288"/>
      <c r="M5" s="291">
        <f>VLOOKUP($M$2,List!$B$7:'List'!$S$100,9,0)</f>
        <v>22</v>
      </c>
      <c r="N5" s="10"/>
      <c r="O5" s="118">
        <v>1</v>
      </c>
      <c r="P5" s="167" t="s">
        <v>7</v>
      </c>
      <c r="Q5" s="10" t="str">
        <f>R5&amp;": "&amp;COUNTIF($R5:R$5,R5)</f>
        <v>Unknow: 1</v>
      </c>
      <c r="R5" s="10" t="s">
        <v>22</v>
      </c>
      <c r="S5" s="118">
        <v>1</v>
      </c>
      <c r="T5" s="167" t="s">
        <v>7</v>
      </c>
    </row>
    <row r="6" spans="1:20" ht="16" customHeight="1" thickBot="1" x14ac:dyDescent="0.4">
      <c r="A6" s="15"/>
      <c r="B6" s="302"/>
      <c r="C6" s="304"/>
      <c r="D6" s="304"/>
      <c r="E6" s="306"/>
      <c r="F6" s="306"/>
      <c r="G6" s="304"/>
      <c r="H6" s="300"/>
      <c r="I6" s="10"/>
      <c r="J6" s="289"/>
      <c r="K6" s="290"/>
      <c r="L6" s="290"/>
      <c r="M6" s="292"/>
      <c r="N6" s="10"/>
      <c r="O6" s="118">
        <v>2</v>
      </c>
      <c r="P6" s="167" t="s">
        <v>5</v>
      </c>
      <c r="Q6" s="10" t="str">
        <f>R6&amp;": "&amp;COUNTIF($R$5:R6,R6)</f>
        <v>Unknow: 2</v>
      </c>
      <c r="R6" s="10" t="s">
        <v>22</v>
      </c>
      <c r="S6" s="118">
        <v>2</v>
      </c>
      <c r="T6" s="167" t="s">
        <v>5</v>
      </c>
    </row>
    <row r="7" spans="1:20" ht="16" thickBot="1" x14ac:dyDescent="0.4">
      <c r="A7" s="15">
        <v>1</v>
      </c>
      <c r="B7" s="208">
        <f>IFERROR(VLOOKUP($J$5&amp;": "&amp;$A7,Mother!$Q$5:'Mother'!$T$100,3,0),"")</f>
        <v>31</v>
      </c>
      <c r="C7" t="str">
        <f>IFERROR(VLOOKUP($B7,Record!$B$8:'Record'!Y100,2,0),"")</f>
        <v>Franky</v>
      </c>
      <c r="D7" s="219">
        <f>IFERROR(VLOOKUP($B7,Record!$B$8:'Record'!$Y$100,4,0),"")</f>
        <v>44264</v>
      </c>
      <c r="E7" t="str">
        <f>IFERROR(VLOOKUP($B7,Record!$B$8:'Record'!$Y$100,3,0),"")</f>
        <v>Male</v>
      </c>
      <c r="F7" s="219">
        <f>IFERROR(IF(VLOOKUP($B7,Record!$B$8:'Record'!$Y$100,9,0)="","",VLOOKUP(B7,Record!$B8:'Record'!Y100,9,0)),"")</f>
        <v>44338</v>
      </c>
      <c r="G7" s="220" t="str">
        <f>IFERROR(VLOOKUP($B7,Record!$B$8:'Record'!$Y$100,13,0),"")</f>
        <v xml:space="preserve">0 Years 2 Month 13 Days </v>
      </c>
      <c r="H7" t="str">
        <f>IFERROR(VLOOKUP($B7,Record!$B$8:'Record'!$Y$100,11,0),"")</f>
        <v>Dead</v>
      </c>
      <c r="I7" s="10"/>
      <c r="J7" s="192" t="s">
        <v>6</v>
      </c>
      <c r="K7" s="194">
        <f>IF(COUNTIF($E$7:$E$35,$J$7)=0,"",COUNTIF($E$7:$E$35,$J$7))</f>
        <v>2</v>
      </c>
      <c r="L7" s="192" t="s">
        <v>8</v>
      </c>
      <c r="M7" s="193">
        <f>IF(COUNTIF($E$7:$E$35,$L$7)=0,"",COUNTIF($E$7:$E$35,$L$7))</f>
        <v>3</v>
      </c>
      <c r="N7" s="10"/>
      <c r="O7" s="118">
        <v>3</v>
      </c>
      <c r="P7" s="167" t="s">
        <v>9</v>
      </c>
      <c r="Q7" s="10" t="str">
        <f>R7&amp;": "&amp;COUNTIF($R$5:R7,R7)</f>
        <v>Unknow: 3</v>
      </c>
      <c r="R7" s="10" t="s">
        <v>22</v>
      </c>
      <c r="S7" s="118">
        <v>3</v>
      </c>
      <c r="T7" s="167" t="s">
        <v>9</v>
      </c>
    </row>
    <row r="8" spans="1:20" ht="16" thickBot="1" x14ac:dyDescent="0.4">
      <c r="A8" s="15">
        <v>2</v>
      </c>
      <c r="B8" s="208">
        <f>IFERROR(VLOOKUP($J$5&amp;": "&amp;$A8,Mother!$Q$5:'Mother'!$T$100,3,0),"")</f>
        <v>52</v>
      </c>
      <c r="C8" t="str">
        <f>IFERROR(VLOOKUP($B8,Record!$B$8:'Record'!Y101,2,0),"")</f>
        <v>Charlotte</v>
      </c>
      <c r="D8" s="219">
        <f>IFERROR(VLOOKUP($B8,Record!$B$8:'Record'!$Y$100,4,0),"")</f>
        <v>44622</v>
      </c>
      <c r="E8" t="str">
        <f>IFERROR(VLOOKUP($B8,Record!$B$8:'Record'!$Y$100,3,0),"")</f>
        <v>Female</v>
      </c>
      <c r="F8" s="219" t="str">
        <f>IFERROR(IF(VLOOKUP($B8,Record!$B$8:'Record'!$Y$100,9,0)="","",VLOOKUP(B8,Record!$B9:'Record'!Y101,9,0)),"")</f>
        <v/>
      </c>
      <c r="G8" s="220" t="str">
        <f ca="1">IFERROR(VLOOKUP($B8,Record!$B$8:'Record'!$Y$100,13,0),"")</f>
        <v xml:space="preserve">1 Years 3 Month 4 Days </v>
      </c>
      <c r="H8" t="str">
        <f>IFERROR(VLOOKUP($B8,Record!$B$8:'Record'!$Y$100,11,0),"")</f>
        <v>Alive</v>
      </c>
      <c r="I8" s="10"/>
      <c r="J8" s="10"/>
      <c r="K8" s="10"/>
      <c r="L8" s="10"/>
      <c r="M8" s="10"/>
      <c r="N8" s="10"/>
      <c r="O8" s="118">
        <v>4</v>
      </c>
      <c r="P8" s="167" t="s">
        <v>10</v>
      </c>
      <c r="Q8" s="10" t="str">
        <f>R8&amp;": "&amp;COUNTIF($R$5:R8,R8)</f>
        <v>Unknow: 4</v>
      </c>
      <c r="R8" s="10" t="s">
        <v>22</v>
      </c>
      <c r="S8" s="118">
        <v>4</v>
      </c>
      <c r="T8" s="167" t="s">
        <v>10</v>
      </c>
    </row>
    <row r="9" spans="1:20" x14ac:dyDescent="0.35">
      <c r="A9" s="15">
        <v>3</v>
      </c>
      <c r="B9" s="208">
        <f>IFERROR(VLOOKUP($J$5&amp;": "&amp;$A9,Mother!$Q$5:'Mother'!$T$100,3,0),"")</f>
        <v>57</v>
      </c>
      <c r="C9" t="str">
        <f>IFERROR(VLOOKUP($B9,Record!$B$8:'Record'!Y102,2,0),"")</f>
        <v>Charlie</v>
      </c>
      <c r="D9" s="219">
        <f>IFERROR(VLOOKUP($B9,Record!$B$8:'Record'!$Y$100,4,0),"")</f>
        <v>44846</v>
      </c>
      <c r="E9" t="str">
        <f>IFERROR(VLOOKUP($B9,Record!$B$8:'Record'!$Y$100,3,0),"")</f>
        <v>Male</v>
      </c>
      <c r="F9" s="219" t="str">
        <f>IFERROR(IF(VLOOKUP($B9,Record!$B$8:'Record'!$Y$100,9,0)="","",VLOOKUP(B9,Record!$B10:'Record'!Y102,9,0)),"")</f>
        <v/>
      </c>
      <c r="G9" s="220" t="str">
        <f ca="1">IFERROR(VLOOKUP($B9,Record!$B$8:'Record'!$Y$100,13,0),"")</f>
        <v xml:space="preserve">0 Years 7 Month 25 Days </v>
      </c>
      <c r="H9" t="str">
        <f>IFERROR(VLOOKUP($B9,Record!$B$8:'Record'!$Y$100,11,0),"")</f>
        <v>Alive</v>
      </c>
      <c r="I9" s="10"/>
      <c r="J9" s="58" t="s">
        <v>21</v>
      </c>
      <c r="K9" s="226">
        <f>COUNTIF($H$7:$H$22,J9)</f>
        <v>4</v>
      </c>
      <c r="L9" s="59" t="s">
        <v>133</v>
      </c>
      <c r="M9" s="226">
        <f>COUNTIF($H$7:$H$22,$L$9)</f>
        <v>0</v>
      </c>
      <c r="N9" s="10"/>
      <c r="O9" s="118">
        <v>5</v>
      </c>
      <c r="P9" s="167" t="s">
        <v>103</v>
      </c>
      <c r="Q9" s="10" t="str">
        <f>R9&amp;": "&amp;COUNTIF($R$5:R9,R9)</f>
        <v>Unknow: 5</v>
      </c>
      <c r="R9" s="10" t="s">
        <v>22</v>
      </c>
      <c r="S9" s="118">
        <v>5</v>
      </c>
      <c r="T9" s="167" t="s">
        <v>103</v>
      </c>
    </row>
    <row r="10" spans="1:20" ht="16" thickBot="1" x14ac:dyDescent="0.4">
      <c r="A10" s="15">
        <v>4</v>
      </c>
      <c r="B10" s="208">
        <f>IFERROR(VLOOKUP($J$5&amp;": "&amp;$A10,Mother!$Q$5:'Mother'!$T$100,3,0),"")</f>
        <v>72</v>
      </c>
      <c r="C10" t="str">
        <f>IFERROR(VLOOKUP($B10,Record!$B$8:'Record'!Y103,2,0),"")</f>
        <v>Lily</v>
      </c>
      <c r="D10" s="219">
        <f>IFERROR(VLOOKUP($B10,Record!$B$8:'Record'!$Y$100,4,0),"")</f>
        <v>45078</v>
      </c>
      <c r="E10" t="str">
        <f>IFERROR(VLOOKUP($B10,Record!$B$8:'Record'!$Y$100,3,0),"")</f>
        <v>Female</v>
      </c>
      <c r="F10" s="219" t="str">
        <f>IFERROR(IF(VLOOKUP($B10,Record!$B$8:'Record'!$Y$100,9,0)="","",VLOOKUP(B10,Record!$B11:'Record'!Y103,9,0)),"")</f>
        <v/>
      </c>
      <c r="G10" s="220" t="str">
        <f ca="1">IFERROR(VLOOKUP($B10,Record!$B$8:'Record'!$Y$100,13,0),"")</f>
        <v xml:space="preserve">0 Years 0 Month 5 Days </v>
      </c>
      <c r="H10" t="str">
        <f>IFERROR(VLOOKUP($B10,Record!$B$8:'Record'!$Y$100,11,0),"")</f>
        <v>Alive</v>
      </c>
      <c r="I10" s="10"/>
      <c r="J10" s="61" t="s">
        <v>35</v>
      </c>
      <c r="K10" s="227">
        <f>COUNTIF($H$7:$H$22,J10)</f>
        <v>1</v>
      </c>
      <c r="L10" s="62" t="s">
        <v>236</v>
      </c>
      <c r="M10" s="227">
        <f>COUNT(B7:B22)</f>
        <v>5</v>
      </c>
      <c r="N10" s="10"/>
      <c r="O10" s="118">
        <v>6</v>
      </c>
      <c r="P10" s="167" t="s">
        <v>13</v>
      </c>
      <c r="Q10" s="10" t="str">
        <f>R10&amp;": "&amp;COUNTIF($R$5:R10,R10)</f>
        <v>Unknow: 6</v>
      </c>
      <c r="R10" s="10" t="s">
        <v>22</v>
      </c>
      <c r="S10" s="118">
        <v>6</v>
      </c>
      <c r="T10" s="167" t="s">
        <v>13</v>
      </c>
    </row>
    <row r="11" spans="1:20" ht="16" thickBot="1" x14ac:dyDescent="0.4">
      <c r="A11" s="15">
        <v>5</v>
      </c>
      <c r="B11" s="208">
        <f>IFERROR(VLOOKUP($J$5&amp;": "&amp;$A11,Mother!$Q$5:'Mother'!$T$100,3,0),"")</f>
        <v>73</v>
      </c>
      <c r="C11" t="str">
        <f>IFERROR(VLOOKUP($B11,Record!$B$8:'Record'!Y104,2,0),"")</f>
        <v>Loy</v>
      </c>
      <c r="D11" s="219">
        <f>IFERROR(VLOOKUP($B11,Record!$B$8:'Record'!$Y$100,4,0),"")</f>
        <v>45078</v>
      </c>
      <c r="E11" t="str">
        <f>IFERROR(VLOOKUP($B11,Record!$B$8:'Record'!$Y$100,3,0),"")</f>
        <v>Male</v>
      </c>
      <c r="F11" s="219" t="str">
        <f>IFERROR(IF(VLOOKUP($B11,Record!$B$8:'Record'!$Y$100,9,0)="","",VLOOKUP(B11,Record!$B12:'Record'!Y104,9,0)),"")</f>
        <v/>
      </c>
      <c r="G11" s="220" t="str">
        <f ca="1">IFERROR(VLOOKUP($B11,Record!$B$8:'Record'!$Y$100,13,0),"")</f>
        <v xml:space="preserve">0 Years 0 Month 5 Days </v>
      </c>
      <c r="H11" t="str">
        <f>IFERROR(VLOOKUP($B11,Record!$B$8:'Record'!$Y$100,11,0),"")</f>
        <v>Alive</v>
      </c>
      <c r="I11" s="10"/>
      <c r="J11" s="10"/>
      <c r="K11" s="10"/>
      <c r="L11" s="223"/>
      <c r="M11" s="10"/>
      <c r="N11" s="10"/>
      <c r="O11" s="168">
        <v>7</v>
      </c>
      <c r="P11" s="169" t="s">
        <v>14</v>
      </c>
      <c r="Q11" s="10" t="str">
        <f>R11&amp;": "&amp;COUNTIF($R$5:R11,R11)</f>
        <v>Unknow: 7</v>
      </c>
      <c r="R11" s="10" t="s">
        <v>22</v>
      </c>
      <c r="S11" s="168">
        <v>7</v>
      </c>
      <c r="T11" s="169" t="s">
        <v>14</v>
      </c>
    </row>
    <row r="12" spans="1:20" x14ac:dyDescent="0.35">
      <c r="A12" s="15">
        <v>6</v>
      </c>
      <c r="B12" s="208" t="str">
        <f>IFERROR(VLOOKUP($J$5&amp;": "&amp;$A12,Mother!$Q$5:'Mother'!$T$100,3,0),"")</f>
        <v/>
      </c>
      <c r="C12" t="str">
        <f>IFERROR(VLOOKUP($B12,Record!$B$8:'Record'!Y105,2,0),"")</f>
        <v/>
      </c>
      <c r="D12" s="219" t="str">
        <f>IFERROR(VLOOKUP($B12,Record!$B$8:'Record'!$Y$100,4,0),"")</f>
        <v/>
      </c>
      <c r="E12" t="str">
        <f>IFERROR(VLOOKUP($B12,Record!$B$8:'Record'!$Y$100,3,0),"")</f>
        <v/>
      </c>
      <c r="F12" s="219" t="str">
        <f>IFERROR(IF(VLOOKUP($B12,Record!$B$8:'Record'!$Y$100,9,0)="","",VLOOKUP(B12,Record!$B13:'Record'!Y105,9,0)),"")</f>
        <v/>
      </c>
      <c r="G12" s="220" t="str">
        <f>IFERROR(VLOOKUP($B12,Record!$B$8:'Record'!$Y$100,13,0),"")</f>
        <v/>
      </c>
      <c r="H12" t="str">
        <f>IFERROR(VLOOKUP($B12,Record!$B$8:'Record'!$Y$100,11,0),"")</f>
        <v/>
      </c>
      <c r="I12" s="10"/>
      <c r="J12" s="293" t="str">
        <f>IFERROR(VLOOKUP($M$5,Record!$B$8:'Record'!$Y$100,2,0),"")</f>
        <v>Lady-Pink</v>
      </c>
      <c r="K12" s="294"/>
      <c r="L12" s="195"/>
      <c r="M12" s="297">
        <f>IFERROR(VLOOKUP($M$5,Record!$B$8:'Record'!$Y$100,1,0),"")</f>
        <v>22</v>
      </c>
      <c r="N12" s="10"/>
      <c r="O12" s="118">
        <v>8</v>
      </c>
      <c r="P12" s="167" t="s">
        <v>31</v>
      </c>
      <c r="Q12" s="10" t="str">
        <f>R12&amp;": "&amp;COUNTIF($R$5:R12,R12)</f>
        <v>Zozibini: 1</v>
      </c>
      <c r="R12" s="10" t="s">
        <v>10</v>
      </c>
      <c r="S12" s="118">
        <v>8</v>
      </c>
      <c r="T12" s="167" t="s">
        <v>31</v>
      </c>
    </row>
    <row r="13" spans="1:20" x14ac:dyDescent="0.35">
      <c r="A13" s="15">
        <v>7</v>
      </c>
      <c r="B13" s="208" t="str">
        <f>IFERROR(VLOOKUP($J$5&amp;": "&amp;$A13,Mother!$Q$5:'Mother'!$T$100,3,0),"")</f>
        <v/>
      </c>
      <c r="C13" t="str">
        <f>IFERROR(VLOOKUP($B13,Record!$B$8:'Record'!Y106,2,0),"")</f>
        <v/>
      </c>
      <c r="D13" s="219" t="str">
        <f>IFERROR(VLOOKUP($B13,Record!$B$8:'Record'!$Y$100,4,0),"")</f>
        <v/>
      </c>
      <c r="E13" t="str">
        <f>IFERROR(VLOOKUP($B13,Record!$B$8:'Record'!$Y$100,3,0),"")</f>
        <v/>
      </c>
      <c r="F13" s="219" t="str">
        <f>IFERROR(IF(VLOOKUP($B13,Record!$B$8:'Record'!$Y$100,9,0)="","",VLOOKUP(B13,Record!$B14:'Record'!Y106,9,0)),"")</f>
        <v/>
      </c>
      <c r="G13" s="220" t="str">
        <f>IFERROR(VLOOKUP($B13,Record!$B$8:'Record'!$Y$100,13,0),"")</f>
        <v/>
      </c>
      <c r="H13" t="str">
        <f>IFERROR(VLOOKUP($B13,Record!$B$8:'Record'!$Y$100,11,0),"")</f>
        <v/>
      </c>
      <c r="I13" s="10"/>
      <c r="J13" s="295"/>
      <c r="K13" s="296"/>
      <c r="L13" s="166"/>
      <c r="M13" s="298"/>
      <c r="N13" s="10"/>
      <c r="O13" s="118">
        <v>9</v>
      </c>
      <c r="P13" s="167" t="s">
        <v>20</v>
      </c>
      <c r="Q13" s="10" t="str">
        <f>R13&amp;": "&amp;COUNTIF($R$5:R13,R13)</f>
        <v>Hope: 1</v>
      </c>
      <c r="R13" s="10" t="s">
        <v>9</v>
      </c>
      <c r="S13" s="118">
        <v>9</v>
      </c>
      <c r="T13" s="167" t="s">
        <v>20</v>
      </c>
    </row>
    <row r="14" spans="1:20" ht="15.5" customHeight="1" x14ac:dyDescent="0.35">
      <c r="A14" s="15">
        <v>8</v>
      </c>
      <c r="B14" s="208" t="str">
        <f>IFERROR(VLOOKUP($J$5&amp;": "&amp;$A14,Mother!$Q$5:'Mother'!$T$100,3,0),"")</f>
        <v/>
      </c>
      <c r="C14" t="str">
        <f>IFERROR(VLOOKUP($B14,Record!$B$8:'Record'!Y107,2,0),"")</f>
        <v/>
      </c>
      <c r="D14" s="219" t="str">
        <f>IFERROR(VLOOKUP($B14,Record!$B$8:'Record'!$Y$100,4,0),"")</f>
        <v/>
      </c>
      <c r="E14" t="str">
        <f>IFERROR(VLOOKUP($B14,Record!$B$8:'Record'!$Y$100,3,0),"")</f>
        <v/>
      </c>
      <c r="F14" s="219" t="str">
        <f>IFERROR(IF(VLOOKUP($B14,Record!$B$8:'Record'!$Y$100,9,0)="","",VLOOKUP(B14,Record!$B15:'Record'!Y107,9,0)),"")</f>
        <v/>
      </c>
      <c r="G14" s="220" t="str">
        <f>IFERROR(VLOOKUP($B14,Record!$B$8:'Record'!$Y$100,13,0),"")</f>
        <v/>
      </c>
      <c r="H14" t="str">
        <f>IFERROR(VLOOKUP($B14,Record!$B$8:'Record'!$Y$100,11,0),"")</f>
        <v/>
      </c>
      <c r="I14" s="10"/>
      <c r="J14" s="285" t="s">
        <v>81</v>
      </c>
      <c r="K14" s="283" t="str">
        <f ca="1">IFERROR(VLOOKUP($M5,Record!$B$8:'Record'!$Y$100,13,0),"")</f>
        <v xml:space="preserve">2 Years 8 Month 2 Days </v>
      </c>
      <c r="L14" s="283"/>
      <c r="M14" s="284"/>
      <c r="N14" s="10"/>
      <c r="O14" s="118">
        <v>10</v>
      </c>
      <c r="P14" s="167" t="s">
        <v>23</v>
      </c>
      <c r="Q14" s="10" t="str">
        <f>R14&amp;": "&amp;COUNTIF($R$5:R14,R14)</f>
        <v>Natasha: 1</v>
      </c>
      <c r="R14" s="10" t="s">
        <v>103</v>
      </c>
      <c r="S14" s="118">
        <v>10</v>
      </c>
      <c r="T14" s="167" t="s">
        <v>23</v>
      </c>
    </row>
    <row r="15" spans="1:20" ht="15.5" customHeight="1" x14ac:dyDescent="0.35">
      <c r="A15" s="15">
        <v>9</v>
      </c>
      <c r="B15" s="208" t="str">
        <f>IFERROR(VLOOKUP($J$5&amp;": "&amp;$A15,Mother!$Q$5:'Mother'!$T$100,3,0),"")</f>
        <v/>
      </c>
      <c r="C15" t="str">
        <f>IFERROR(VLOOKUP($B15,Record!$B$8:'Record'!Y108,2,0),"")</f>
        <v/>
      </c>
      <c r="D15" s="219" t="str">
        <f>IFERROR(VLOOKUP($B15,Record!$B$8:'Record'!$Y$100,4,0),"")</f>
        <v/>
      </c>
      <c r="E15" t="str">
        <f>IFERROR(VLOOKUP($B15,Record!$B$8:'Record'!$Y$100,3,0),"")</f>
        <v/>
      </c>
      <c r="F15" s="219" t="str">
        <f>IFERROR(IF(VLOOKUP($B15,Record!$B$8:'Record'!$Y$100,9,0)="","",VLOOKUP(B15,Record!$B16:'Record'!Y108,9,0)),"")</f>
        <v/>
      </c>
      <c r="G15" s="220" t="str">
        <f>IFERROR(VLOOKUP($B15,Record!$B$8:'Record'!$Y$100,13,0),"")</f>
        <v/>
      </c>
      <c r="H15" t="str">
        <f>IFERROR(VLOOKUP($B15,Record!$B$8:'Record'!$Y$100,11,0),"")</f>
        <v/>
      </c>
      <c r="I15" s="10"/>
      <c r="J15" s="285"/>
      <c r="K15" s="283"/>
      <c r="L15" s="283"/>
      <c r="M15" s="284"/>
      <c r="N15" s="10"/>
      <c r="O15" s="118">
        <v>11</v>
      </c>
      <c r="P15" s="167" t="s">
        <v>26</v>
      </c>
      <c r="Q15" s="10" t="str">
        <f>R15&amp;": "&amp;COUNTIF($R$5:R15,R15)</f>
        <v>Unknow: 8</v>
      </c>
      <c r="R15" s="10" t="s">
        <v>22</v>
      </c>
      <c r="S15" s="118">
        <v>11</v>
      </c>
      <c r="T15" s="167" t="s">
        <v>26</v>
      </c>
    </row>
    <row r="16" spans="1:20" x14ac:dyDescent="0.35">
      <c r="A16" s="15">
        <v>10</v>
      </c>
      <c r="B16" s="208" t="str">
        <f>IFERROR(VLOOKUP($J$5&amp;": "&amp;$A16,Mother!$Q$5:'Mother'!$T$100,3,0),"")</f>
        <v/>
      </c>
      <c r="C16" t="str">
        <f>IFERROR(VLOOKUP($B16,Record!$B$8:'Record'!Y109,2,0),"")</f>
        <v/>
      </c>
      <c r="D16" s="219" t="str">
        <f>IFERROR(VLOOKUP($B16,Record!$B$8:'Record'!$Y$100,4,0),"")</f>
        <v/>
      </c>
      <c r="E16" t="str">
        <f>IFERROR(VLOOKUP($B16,Record!$B$8:'Record'!$Y$100,3,0),"")</f>
        <v/>
      </c>
      <c r="F16" s="219" t="str">
        <f>IFERROR(IF(VLOOKUP($B16,Record!$B$8:'Record'!$Y$100,9,0)="","",VLOOKUP(B16,Record!$B17:'Record'!Y109,9,0)),"")</f>
        <v/>
      </c>
      <c r="G16" s="220" t="str">
        <f>IFERROR(VLOOKUP($B16,Record!$B$8:'Record'!$Y$100,13,0),"")</f>
        <v/>
      </c>
      <c r="H16" t="str">
        <f>IFERROR(VLOOKUP($B16,Record!$B$8:'Record'!$Y$100,11,0),"")</f>
        <v/>
      </c>
      <c r="I16" s="10"/>
      <c r="J16" s="285" t="s">
        <v>235</v>
      </c>
      <c r="K16" s="283" t="str">
        <f ca="1">DATEDIF($E4,TODAY(),"y")&amp;" Years "&amp;DATEDIF($E4,TODAY(),"ym")&amp;" Month "&amp;DATEDIF($E4,TODAY(),"md")&amp;" Days "</f>
        <v xml:space="preserve">123 Years 5 Month 6 Days </v>
      </c>
      <c r="L16" s="283"/>
      <c r="M16" s="284"/>
      <c r="N16" s="10"/>
      <c r="O16" s="118">
        <v>12</v>
      </c>
      <c r="P16" s="167" t="s">
        <v>24</v>
      </c>
      <c r="Q16" s="10" t="str">
        <f>R16&amp;": "&amp;COUNTIF($R$5:R16,R16)</f>
        <v>Mary: 1</v>
      </c>
      <c r="R16" s="10" t="s">
        <v>26</v>
      </c>
      <c r="S16" s="118">
        <v>12</v>
      </c>
      <c r="T16" s="167" t="s">
        <v>24</v>
      </c>
    </row>
    <row r="17" spans="1:20" ht="16" thickBot="1" x14ac:dyDescent="0.4">
      <c r="A17" s="15">
        <v>11</v>
      </c>
      <c r="B17" s="208" t="str">
        <f>IFERROR(VLOOKUP($J$5&amp;": "&amp;$A17,Mother!$Q$5:'Mother'!$T$100,3,0),"")</f>
        <v/>
      </c>
      <c r="C17" t="str">
        <f>IFERROR(VLOOKUP($B17,Record!$B$8:'Record'!Y110,2,0),"")</f>
        <v/>
      </c>
      <c r="D17" s="219" t="str">
        <f>IFERROR(VLOOKUP($B17,Record!$B$8:'Record'!$Y$100,4,0),"")</f>
        <v/>
      </c>
      <c r="E17" t="str">
        <f>IFERROR(VLOOKUP($B17,Record!$B$8:'Record'!$Y$100,3,0),"")</f>
        <v/>
      </c>
      <c r="F17" s="219" t="str">
        <f>IFERROR(IF(VLOOKUP($B17,Record!$B$8:'Record'!$Y$100,9,0)="","",VLOOKUP(B17,Record!$B18:'Record'!Y110,9,0)),"")</f>
        <v/>
      </c>
      <c r="G17" s="220" t="str">
        <f>IFERROR(VLOOKUP($B17,Record!$B$8:'Record'!$Y$100,13,0),"")</f>
        <v/>
      </c>
      <c r="H17" t="str">
        <f>IFERROR(VLOOKUP($B17,Record!$B$8:'Record'!$Y$100,11,0),"")</f>
        <v/>
      </c>
      <c r="I17" s="10"/>
      <c r="J17" s="286"/>
      <c r="K17" s="247"/>
      <c r="L17" s="247"/>
      <c r="M17" s="246"/>
      <c r="N17" s="10"/>
      <c r="O17" s="118">
        <v>13</v>
      </c>
      <c r="P17" s="167" t="s">
        <v>25</v>
      </c>
      <c r="Q17" s="10" t="str">
        <f>R17&amp;": "&amp;COUNTIF($R$5:R17,R17)</f>
        <v>Mary: 2</v>
      </c>
      <c r="R17" s="10" t="s">
        <v>26</v>
      </c>
      <c r="S17" s="118">
        <v>13</v>
      </c>
      <c r="T17" s="167" t="s">
        <v>25</v>
      </c>
    </row>
    <row r="18" spans="1:20" x14ac:dyDescent="0.35">
      <c r="A18" s="15">
        <v>12</v>
      </c>
      <c r="B18" s="208" t="str">
        <f>IFERROR(VLOOKUP($J$5&amp;": "&amp;$A18,Mother!$Q$5:'Mother'!$T$100,3,0),"")</f>
        <v/>
      </c>
      <c r="C18" t="str">
        <f>IFERROR(VLOOKUP($B18,Record!$B$8:'Record'!Y111,2,0),"")</f>
        <v/>
      </c>
      <c r="D18" s="219" t="str">
        <f>IFERROR(VLOOKUP($B18,Record!$B$8:'Record'!$Y$100,4,0),"")</f>
        <v/>
      </c>
      <c r="E18" t="str">
        <f>IFERROR(VLOOKUP($B18,Record!$B$8:'Record'!$Y$100,3,0),"")</f>
        <v/>
      </c>
      <c r="F18" s="219" t="str">
        <f>IFERROR(IF(VLOOKUP($B18,Record!$B$8:'Record'!$Y$100,9,0)="","",VLOOKUP(B18,Record!$B19:'Record'!Y111,9,0)),"")</f>
        <v/>
      </c>
      <c r="G18" s="220" t="str">
        <f>IFERROR(VLOOKUP($B18,Record!$B$8:'Record'!$Y$100,13,0),"")</f>
        <v/>
      </c>
      <c r="H18" t="str">
        <f>IFERROR(VLOOKUP($B18,Record!$B$8:'Record'!$Y$100,11,0),"")</f>
        <v/>
      </c>
      <c r="I18" s="10"/>
      <c r="J18" s="10"/>
      <c r="K18" s="10"/>
      <c r="L18" s="223"/>
      <c r="M18" s="10"/>
      <c r="N18" s="10"/>
      <c r="O18" s="118">
        <v>14</v>
      </c>
      <c r="P18" s="167" t="s">
        <v>30</v>
      </c>
      <c r="Q18" s="10" t="str">
        <f>R18&amp;": "&amp;COUNTIF($R$5:R18,R18)</f>
        <v>Lisa: 1</v>
      </c>
      <c r="R18" s="10" t="s">
        <v>13</v>
      </c>
      <c r="S18" s="118">
        <v>14</v>
      </c>
      <c r="T18" s="167" t="s">
        <v>30</v>
      </c>
    </row>
    <row r="19" spans="1:20" x14ac:dyDescent="0.35">
      <c r="A19" s="15">
        <v>13</v>
      </c>
      <c r="B19" s="208" t="str">
        <f>IFERROR(VLOOKUP($J$5&amp;": "&amp;$A19,Mother!$Q$5:'Mother'!$T$100,3,0),"")</f>
        <v/>
      </c>
      <c r="C19" t="str">
        <f>IFERROR(VLOOKUP($B19,Record!$B$8:'Record'!Y112,2,0),"")</f>
        <v/>
      </c>
      <c r="D19" s="219" t="str">
        <f>IFERROR(VLOOKUP($B19,Record!$B$8:'Record'!$Y$100,4,0),"")</f>
        <v/>
      </c>
      <c r="E19" t="str">
        <f>IFERROR(VLOOKUP($B19,Record!$B$8:'Record'!$Y$100,3,0),"")</f>
        <v/>
      </c>
      <c r="F19" s="219" t="str">
        <f>IFERROR(IF(VLOOKUP($B19,Record!$B$8:'Record'!$Y$100,9,0)="","",VLOOKUP(B19,Record!$B20:'Record'!Y112,9,0)),"")</f>
        <v/>
      </c>
      <c r="G19" s="220" t="str">
        <f>IFERROR(VLOOKUP($B19,Record!$B$8:'Record'!$Y$100,13,0),"")</f>
        <v/>
      </c>
      <c r="H19" t="str">
        <f>IFERROR(VLOOKUP($B19,Record!$B$8:'Record'!$Y$100,11,0),"")</f>
        <v/>
      </c>
      <c r="I19" s="10"/>
      <c r="J19" s="10"/>
      <c r="K19" s="10"/>
      <c r="L19" s="10"/>
      <c r="M19" s="10"/>
      <c r="N19" s="10"/>
      <c r="O19" s="118">
        <v>15</v>
      </c>
      <c r="P19" s="167" t="s">
        <v>28</v>
      </c>
      <c r="Q19" s="10" t="str">
        <f>R19&amp;": "&amp;COUNTIF($R$5:R19,R19)</f>
        <v>Lucy: 1</v>
      </c>
      <c r="R19" s="10" t="s">
        <v>14</v>
      </c>
      <c r="S19" s="118">
        <v>15</v>
      </c>
      <c r="T19" s="167" t="s">
        <v>28</v>
      </c>
    </row>
    <row r="20" spans="1:20" x14ac:dyDescent="0.35">
      <c r="A20" s="15">
        <v>14</v>
      </c>
      <c r="B20" s="208" t="str">
        <f>IFERROR(VLOOKUP($J$5&amp;": "&amp;$A20,Mother!$Q$5:'Mother'!$T$100,3,0),"")</f>
        <v/>
      </c>
      <c r="C20" t="str">
        <f>IFERROR(VLOOKUP($B20,Record!$B$8:'Record'!Y113,2,0),"")</f>
        <v/>
      </c>
      <c r="D20" s="219" t="str">
        <f>IFERROR(VLOOKUP($B20,Record!$B$8:'Record'!$Y$100,4,0),"")</f>
        <v/>
      </c>
      <c r="E20" t="str">
        <f>IFERROR(VLOOKUP($B20,Record!$B$8:'Record'!$Y$100,3,0),"")</f>
        <v/>
      </c>
      <c r="F20" s="219" t="str">
        <f>IFERROR(IF(VLOOKUP($B20,Record!$B$8:'Record'!$Y$100,9,0)="","",VLOOKUP(B20,Record!$B21:'Record'!Y113,9,0)),"")</f>
        <v/>
      </c>
      <c r="G20" s="220" t="str">
        <f>IFERROR(VLOOKUP($B20,Record!$B$8:'Record'!$Y$100,13,0),"")</f>
        <v/>
      </c>
      <c r="H20" t="str">
        <f>IFERROR(VLOOKUP($B20,Record!$B$8:'Record'!$Y$100,11,0),"")</f>
        <v/>
      </c>
      <c r="I20" s="10"/>
      <c r="J20" s="10"/>
      <c r="K20" s="10"/>
      <c r="L20" s="10"/>
      <c r="M20" s="10"/>
      <c r="N20" s="10"/>
      <c r="O20" s="118">
        <v>16</v>
      </c>
      <c r="P20" s="167" t="s">
        <v>29</v>
      </c>
      <c r="Q20" s="10" t="str">
        <f>R20&amp;": "&amp;COUNTIF($R$5:R20,R20)</f>
        <v>Lucy: 2</v>
      </c>
      <c r="R20" s="10" t="s">
        <v>14</v>
      </c>
      <c r="S20" s="118">
        <v>16</v>
      </c>
      <c r="T20" s="167" t="s">
        <v>29</v>
      </c>
    </row>
    <row r="21" spans="1:20" x14ac:dyDescent="0.35">
      <c r="A21" s="15">
        <v>15</v>
      </c>
      <c r="B21" s="208" t="str">
        <f>IFERROR(VLOOKUP($J$5&amp;": "&amp;$A21,Mother!$Q$5:'Mother'!$T$100,3,0),"")</f>
        <v/>
      </c>
      <c r="C21" t="str">
        <f>IFERROR(VLOOKUP($B21,Record!$B$8:'Record'!Y114,2,0),"")</f>
        <v/>
      </c>
      <c r="D21" s="219" t="str">
        <f>IFERROR(VLOOKUP($B21,Record!$B$8:'Record'!$Y$100,4,0),"")</f>
        <v/>
      </c>
      <c r="E21" t="str">
        <f>IFERROR(VLOOKUP($B21,Record!$B$8:'Record'!$Y$100,3,0),"")</f>
        <v/>
      </c>
      <c r="F21" s="219" t="str">
        <f>IFERROR(IF(VLOOKUP($B21,Record!$B$8:'Record'!$Y$100,9,0)="","",VLOOKUP(B21,Record!$B22:'Record'!Y114,9,0)),"")</f>
        <v/>
      </c>
      <c r="G21" s="220" t="str">
        <f>IFERROR(VLOOKUP($B21,Record!$B$8:'Record'!$Y$100,13,0),"")</f>
        <v/>
      </c>
      <c r="H21" t="str">
        <f>IFERROR(VLOOKUP($B21,Record!$B$8:'Record'!$Y$100,11,0),"")</f>
        <v/>
      </c>
      <c r="I21" s="10"/>
      <c r="J21" s="10"/>
      <c r="K21" s="10"/>
      <c r="L21" s="10"/>
      <c r="M21" s="10"/>
      <c r="N21" s="10"/>
      <c r="O21" s="118">
        <v>17</v>
      </c>
      <c r="P21" s="167" t="s">
        <v>32</v>
      </c>
      <c r="Q21" s="10" t="str">
        <f>R21&amp;": "&amp;COUNTIF($R$5:R21,R21)</f>
        <v>Toni Ann: 1</v>
      </c>
      <c r="R21" s="10" t="s">
        <v>5</v>
      </c>
      <c r="S21" s="118">
        <v>17</v>
      </c>
      <c r="T21" s="167" t="s">
        <v>32</v>
      </c>
    </row>
    <row r="22" spans="1:20" ht="16" thickBot="1" x14ac:dyDescent="0.4">
      <c r="A22" s="15">
        <v>16</v>
      </c>
      <c r="B22" s="209" t="str">
        <f>IFERROR(VLOOKUP($J$5&amp;": "&amp;$A22,Mother!$Q$5:'Mother'!$T$100,3,0),"")</f>
        <v/>
      </c>
      <c r="C22" t="str">
        <f>IFERROR(VLOOKUP($B22,Record!$B$8:'Record'!Y115,2,0),"")</f>
        <v/>
      </c>
      <c r="D22" s="219" t="str">
        <f>IFERROR(VLOOKUP($B22,Record!$B$8:'Record'!$Y$100,4,0),"")</f>
        <v/>
      </c>
      <c r="E22" t="str">
        <f>IFERROR(VLOOKUP($B22,Record!$B$8:'Record'!$Y$100,3,0),"")</f>
        <v/>
      </c>
      <c r="F22" s="219" t="str">
        <f>IFERROR(IF(VLOOKUP($B22,Record!$B$8:'Record'!$Y$100,9,0)="","",VLOOKUP(B22,Record!$B23:'Record'!Y115,9,0)),"")</f>
        <v/>
      </c>
      <c r="G22" s="220" t="str">
        <f>IFERROR(VLOOKUP($B22,Record!$B$8:'Record'!$Y$100,13,0),"")</f>
        <v/>
      </c>
      <c r="H22" t="str">
        <f>IFERROR(VLOOKUP($B22,Record!$B$8:'Record'!$Y$100,11,0),"")</f>
        <v/>
      </c>
      <c r="I22" s="10"/>
      <c r="J22" s="10"/>
      <c r="K22" s="10"/>
      <c r="L22" s="10"/>
      <c r="M22" s="10"/>
      <c r="N22" s="10"/>
      <c r="O22" s="118">
        <v>18</v>
      </c>
      <c r="P22" s="167" t="s">
        <v>33</v>
      </c>
      <c r="Q22" s="10" t="str">
        <f>R22&amp;": "&amp;COUNTIF($R$5:R22,R22)</f>
        <v>Zozibini: 2</v>
      </c>
      <c r="R22" s="10" t="s">
        <v>10</v>
      </c>
      <c r="S22" s="118">
        <v>18</v>
      </c>
      <c r="T22" s="167" t="s">
        <v>33</v>
      </c>
    </row>
    <row r="23" spans="1:20" x14ac:dyDescent="0.35">
      <c r="A23" s="15"/>
      <c r="O23" s="118">
        <v>19</v>
      </c>
      <c r="P23" s="167" t="s">
        <v>34</v>
      </c>
      <c r="Q23" s="10" t="str">
        <f>R23&amp;": "&amp;COUNTIF($R$5:R23,R23)</f>
        <v>Janny: 1</v>
      </c>
      <c r="R23" s="10" t="s">
        <v>31</v>
      </c>
      <c r="S23" s="118">
        <v>19</v>
      </c>
      <c r="T23" s="167" t="s">
        <v>34</v>
      </c>
    </row>
    <row r="24" spans="1:20" x14ac:dyDescent="0.35">
      <c r="A24" s="15"/>
      <c r="O24" s="118">
        <v>20</v>
      </c>
      <c r="P24" s="167" t="s">
        <v>57</v>
      </c>
      <c r="Q24" s="10" t="str">
        <f>R24&amp;": "&amp;COUNTIF($R$5:R24,R24)</f>
        <v>Unknow: 9</v>
      </c>
      <c r="R24" s="10" t="s">
        <v>22</v>
      </c>
      <c r="S24" s="118">
        <v>20</v>
      </c>
      <c r="T24" s="167" t="s">
        <v>57</v>
      </c>
    </row>
    <row r="25" spans="1:20" x14ac:dyDescent="0.35">
      <c r="O25" s="118">
        <v>21</v>
      </c>
      <c r="P25" s="167" t="s">
        <v>58</v>
      </c>
      <c r="Q25" s="10" t="str">
        <f>R25&amp;": "&amp;COUNTIF($R$5:R25,R25)</f>
        <v>Unknow: 10</v>
      </c>
      <c r="R25" s="10" t="s">
        <v>22</v>
      </c>
      <c r="S25" s="118">
        <v>21</v>
      </c>
      <c r="T25" s="167" t="s">
        <v>58</v>
      </c>
    </row>
    <row r="26" spans="1:20" x14ac:dyDescent="0.35">
      <c r="O26" s="118">
        <v>22</v>
      </c>
      <c r="P26" s="167" t="s">
        <v>61</v>
      </c>
      <c r="Q26" s="10" t="str">
        <f>R26&amp;": "&amp;COUNTIF($R$5:R26,R26)</f>
        <v>Unknow: 11</v>
      </c>
      <c r="R26" s="10" t="s">
        <v>22</v>
      </c>
      <c r="S26" s="118">
        <v>22</v>
      </c>
      <c r="T26" s="167" t="s">
        <v>61</v>
      </c>
    </row>
    <row r="27" spans="1:20" x14ac:dyDescent="0.35">
      <c r="O27" s="118">
        <v>23</v>
      </c>
      <c r="P27" s="118" t="s">
        <v>60</v>
      </c>
      <c r="Q27" s="10" t="str">
        <f>R27&amp;": "&amp;COUNTIF($R$5:R27,R27)</f>
        <v>Unknow: 12</v>
      </c>
      <c r="R27" s="10" t="s">
        <v>22</v>
      </c>
      <c r="S27" s="118">
        <v>23</v>
      </c>
      <c r="T27" s="118" t="s">
        <v>60</v>
      </c>
    </row>
    <row r="28" spans="1:20" x14ac:dyDescent="0.35">
      <c r="O28" s="118">
        <v>24</v>
      </c>
      <c r="P28" s="167" t="s">
        <v>59</v>
      </c>
      <c r="Q28" s="10" t="str">
        <f>R28&amp;": "&amp;COUNTIF($R$5:R28,R28)</f>
        <v>Unknow: 13</v>
      </c>
      <c r="R28" s="10" t="s">
        <v>22</v>
      </c>
      <c r="S28" s="118">
        <v>24</v>
      </c>
      <c r="T28" s="167" t="s">
        <v>59</v>
      </c>
    </row>
    <row r="29" spans="1:20" x14ac:dyDescent="0.35">
      <c r="O29" s="118">
        <v>25</v>
      </c>
      <c r="P29" s="167" t="s">
        <v>71</v>
      </c>
      <c r="Q29" s="10" t="str">
        <f>R29&amp;": "&amp;COUNTIF($R$5:R29,R29)</f>
        <v>Tong Kao: 1</v>
      </c>
      <c r="R29" s="10" t="s">
        <v>20</v>
      </c>
      <c r="S29" s="118">
        <v>25</v>
      </c>
      <c r="T29" s="167" t="s">
        <v>71</v>
      </c>
    </row>
    <row r="30" spans="1:20" x14ac:dyDescent="0.35">
      <c r="O30" s="118">
        <v>26</v>
      </c>
      <c r="P30" s="167" t="s">
        <v>83</v>
      </c>
      <c r="Q30" s="10" t="str">
        <f>R30&amp;": "&amp;COUNTIF($R$5:R30,R30)</f>
        <v>Mary: 3</v>
      </c>
      <c r="R30" s="10" t="s">
        <v>26</v>
      </c>
      <c r="S30" s="118">
        <v>26</v>
      </c>
      <c r="T30" s="167" t="s">
        <v>83</v>
      </c>
    </row>
    <row r="31" spans="1:20" x14ac:dyDescent="0.35">
      <c r="O31" s="118">
        <v>27</v>
      </c>
      <c r="P31" s="167" t="s">
        <v>84</v>
      </c>
      <c r="Q31" s="10" t="str">
        <f>R31&amp;": "&amp;COUNTIF($R$5:R31,R31)</f>
        <v>Mary: 4</v>
      </c>
      <c r="R31" s="10" t="s">
        <v>26</v>
      </c>
      <c r="S31" s="118">
        <v>27</v>
      </c>
      <c r="T31" s="167" t="s">
        <v>84</v>
      </c>
    </row>
    <row r="32" spans="1:20" x14ac:dyDescent="0.35">
      <c r="O32" s="168">
        <v>28</v>
      </c>
      <c r="P32" s="169" t="s">
        <v>102</v>
      </c>
      <c r="Q32" s="10" t="str">
        <f>R32&amp;": "&amp;COUNTIF($R$5:R32,R32)</f>
        <v>Lisa: 2</v>
      </c>
      <c r="R32" s="10" t="s">
        <v>13</v>
      </c>
      <c r="S32" s="168">
        <v>28</v>
      </c>
      <c r="T32" s="169" t="s">
        <v>102</v>
      </c>
    </row>
    <row r="33" spans="15:20" x14ac:dyDescent="0.35">
      <c r="O33" s="118">
        <v>29</v>
      </c>
      <c r="P33" s="167" t="s">
        <v>104</v>
      </c>
      <c r="Q33" s="10" t="str">
        <f>R33&amp;": "&amp;COUNTIF($R$5:R33,R33)</f>
        <v>Hope: 2</v>
      </c>
      <c r="R33" s="10" t="s">
        <v>9</v>
      </c>
      <c r="S33" s="118">
        <v>29</v>
      </c>
      <c r="T33" s="167" t="s">
        <v>104</v>
      </c>
    </row>
    <row r="34" spans="15:20" x14ac:dyDescent="0.35">
      <c r="O34" s="118">
        <v>30</v>
      </c>
      <c r="P34" s="167" t="s">
        <v>106</v>
      </c>
      <c r="Q34" s="10" t="str">
        <f>R34&amp;": "&amp;COUNTIF($R$5:R34,R34)</f>
        <v>Natasha: 2</v>
      </c>
      <c r="R34" s="10" t="s">
        <v>103</v>
      </c>
      <c r="S34" s="118">
        <v>30</v>
      </c>
      <c r="T34" s="167" t="s">
        <v>106</v>
      </c>
    </row>
    <row r="35" spans="15:20" x14ac:dyDescent="0.35">
      <c r="O35" s="118">
        <v>31</v>
      </c>
      <c r="P35" s="167" t="s">
        <v>107</v>
      </c>
      <c r="Q35" s="10" t="str">
        <f>R35&amp;": "&amp;COUNTIF($R$5:R35,R35)</f>
        <v>Lady-Pink: 1</v>
      </c>
      <c r="R35" s="10" t="s">
        <v>61</v>
      </c>
      <c r="S35" s="118">
        <v>31</v>
      </c>
      <c r="T35" s="167" t="s">
        <v>107</v>
      </c>
    </row>
    <row r="36" spans="15:20" x14ac:dyDescent="0.35">
      <c r="O36" s="118">
        <v>32</v>
      </c>
      <c r="P36" s="167" t="s">
        <v>108</v>
      </c>
      <c r="Q36" s="10" t="str">
        <f>R36&amp;": "&amp;COUNTIF($R$5:R36,R36)</f>
        <v>Cle-O: 1</v>
      </c>
      <c r="R36" s="10" t="s">
        <v>60</v>
      </c>
      <c r="S36" s="118">
        <v>32</v>
      </c>
      <c r="T36" s="167" t="s">
        <v>108</v>
      </c>
    </row>
    <row r="37" spans="15:20" x14ac:dyDescent="0.35">
      <c r="O37" s="118">
        <v>33</v>
      </c>
      <c r="P37" s="167" t="s">
        <v>109</v>
      </c>
      <c r="Q37" s="10" t="str">
        <f>R37&amp;": "&amp;COUNTIF($R$5:R37,R37)</f>
        <v>O-Reo: 1</v>
      </c>
      <c r="R37" s="10" t="s">
        <v>59</v>
      </c>
      <c r="S37" s="118">
        <v>33</v>
      </c>
      <c r="T37" s="167" t="s">
        <v>109</v>
      </c>
    </row>
    <row r="38" spans="15:20" x14ac:dyDescent="0.35">
      <c r="O38" s="118">
        <v>34</v>
      </c>
      <c r="P38" s="167" t="s">
        <v>118</v>
      </c>
      <c r="Q38" s="10" t="str">
        <f>R38&amp;": "&amp;COUNTIF($R$5:R38,R38)</f>
        <v>Maya: 1</v>
      </c>
      <c r="R38" s="10" t="s">
        <v>30</v>
      </c>
      <c r="S38" s="118">
        <v>34</v>
      </c>
      <c r="T38" s="167" t="s">
        <v>118</v>
      </c>
    </row>
    <row r="39" spans="15:20" x14ac:dyDescent="0.35">
      <c r="O39" s="118">
        <v>35</v>
      </c>
      <c r="P39" s="118" t="s">
        <v>111</v>
      </c>
      <c r="Q39" s="10" t="str">
        <f>R39&amp;": "&amp;COUNTIF($R$5:R39,R39)</f>
        <v>Unknow: 14</v>
      </c>
      <c r="R39" s="10" t="s">
        <v>22</v>
      </c>
      <c r="S39" s="118">
        <v>35</v>
      </c>
      <c r="T39" s="118" t="s">
        <v>111</v>
      </c>
    </row>
    <row r="40" spans="15:20" x14ac:dyDescent="0.35">
      <c r="O40" s="118">
        <v>36</v>
      </c>
      <c r="P40" s="167" t="s">
        <v>110</v>
      </c>
      <c r="Q40" s="10" t="str">
        <f>R40&amp;": "&amp;COUNTIF($R$5:R40,R40)</f>
        <v>Unknow: 15</v>
      </c>
      <c r="R40" s="10" t="s">
        <v>22</v>
      </c>
      <c r="S40" s="118">
        <v>36</v>
      </c>
      <c r="T40" s="167" t="s">
        <v>110</v>
      </c>
    </row>
    <row r="41" spans="15:20" x14ac:dyDescent="0.35">
      <c r="O41" s="118">
        <v>37</v>
      </c>
      <c r="P41" s="167" t="s">
        <v>115</v>
      </c>
      <c r="Q41" s="10" t="str">
        <f>R41&amp;": "&amp;COUNTIF($R$5:R41,R41)</f>
        <v>Panda: 1</v>
      </c>
      <c r="R41" s="10" t="s">
        <v>23</v>
      </c>
      <c r="S41" s="118">
        <v>37</v>
      </c>
      <c r="T41" s="167" t="s">
        <v>115</v>
      </c>
    </row>
    <row r="42" spans="15:20" x14ac:dyDescent="0.35">
      <c r="O42" s="118">
        <v>38</v>
      </c>
      <c r="P42" s="167" t="s">
        <v>117</v>
      </c>
      <c r="Q42" s="10" t="str">
        <f>R42&amp;": "&amp;COUNTIF($R$5:R42,R42)</f>
        <v>Tong-D: 1</v>
      </c>
      <c r="R42" s="10" t="s">
        <v>58</v>
      </c>
      <c r="S42" s="118">
        <v>38</v>
      </c>
      <c r="T42" s="167" t="s">
        <v>117</v>
      </c>
    </row>
    <row r="43" spans="15:20" x14ac:dyDescent="0.35">
      <c r="O43" s="118">
        <v>39</v>
      </c>
      <c r="P43" s="167" t="s">
        <v>119</v>
      </c>
      <c r="Q43" s="10" t="str">
        <f>R43&amp;": "&amp;COUNTIF($R$5:R43,R43)</f>
        <v>Apache: 1</v>
      </c>
      <c r="R43" s="10" t="s">
        <v>57</v>
      </c>
      <c r="S43" s="118">
        <v>39</v>
      </c>
      <c r="T43" s="167" t="s">
        <v>119</v>
      </c>
    </row>
    <row r="44" spans="15:20" x14ac:dyDescent="0.35">
      <c r="O44" s="118">
        <v>40</v>
      </c>
      <c r="P44" s="167" t="s">
        <v>120</v>
      </c>
      <c r="Q44" s="10" t="str">
        <f>R44&amp;": "&amp;COUNTIF($R$5:R44,R44)</f>
        <v>Lisa: 3</v>
      </c>
      <c r="R44" s="10" t="s">
        <v>13</v>
      </c>
      <c r="S44" s="118">
        <v>40</v>
      </c>
      <c r="T44" s="167" t="s">
        <v>120</v>
      </c>
    </row>
    <row r="45" spans="15:20" x14ac:dyDescent="0.35">
      <c r="O45" s="118">
        <v>41</v>
      </c>
      <c r="P45" s="167" t="s">
        <v>121</v>
      </c>
      <c r="Q45" s="10" t="str">
        <f>R45&amp;": "&amp;COUNTIF($R$5:R45,R45)</f>
        <v>Cle-O: 2</v>
      </c>
      <c r="R45" s="10" t="s">
        <v>60</v>
      </c>
      <c r="S45" s="118">
        <v>41</v>
      </c>
      <c r="T45" s="167" t="s">
        <v>121</v>
      </c>
    </row>
    <row r="46" spans="15:20" x14ac:dyDescent="0.35">
      <c r="O46" s="118">
        <v>42</v>
      </c>
      <c r="P46" s="167" t="s">
        <v>122</v>
      </c>
      <c r="Q46" s="10" t="str">
        <f>R46&amp;": "&amp;COUNTIF($R$5:R46,R46)</f>
        <v>Dell: 1</v>
      </c>
      <c r="R46" s="10" t="s">
        <v>24</v>
      </c>
      <c r="S46" s="118">
        <v>42</v>
      </c>
      <c r="T46" s="167" t="s">
        <v>122</v>
      </c>
    </row>
    <row r="47" spans="15:20" x14ac:dyDescent="0.35">
      <c r="O47" s="168">
        <v>43</v>
      </c>
      <c r="P47" s="169" t="s">
        <v>123</v>
      </c>
      <c r="Q47" s="10" t="str">
        <f>R47&amp;": "&amp;COUNTIF($R$5:R47,R47)</f>
        <v>Bo-Bo: 1</v>
      </c>
      <c r="R47" s="10" t="s">
        <v>110</v>
      </c>
      <c r="S47" s="168">
        <v>43</v>
      </c>
      <c r="T47" s="169" t="s">
        <v>123</v>
      </c>
    </row>
    <row r="48" spans="15:20" x14ac:dyDescent="0.35">
      <c r="O48" s="118">
        <v>44</v>
      </c>
      <c r="P48" s="167" t="s">
        <v>126</v>
      </c>
      <c r="Q48" s="10" t="str">
        <f>R48&amp;": "&amp;COUNTIF($R$5:R48,R48)</f>
        <v>Praery: 1</v>
      </c>
      <c r="R48" s="10" t="s">
        <v>84</v>
      </c>
      <c r="S48" s="118">
        <v>44</v>
      </c>
      <c r="T48" s="167" t="s">
        <v>126</v>
      </c>
    </row>
    <row r="49" spans="15:20" x14ac:dyDescent="0.35">
      <c r="O49" s="118">
        <v>45</v>
      </c>
      <c r="P49" s="167" t="s">
        <v>124</v>
      </c>
      <c r="Q49" s="10" t="str">
        <f>R49&amp;": "&amp;COUNTIF($R$5:R49,R49)</f>
        <v>Lisa: 4</v>
      </c>
      <c r="R49" s="10" t="s">
        <v>13</v>
      </c>
      <c r="S49" s="118">
        <v>45</v>
      </c>
      <c r="T49" s="167" t="s">
        <v>124</v>
      </c>
    </row>
    <row r="50" spans="15:20" x14ac:dyDescent="0.35">
      <c r="O50" s="118">
        <v>46</v>
      </c>
      <c r="P50" s="167" t="s">
        <v>125</v>
      </c>
      <c r="Q50" s="10" t="str">
        <f>R50&amp;": "&amp;COUNTIF($R$5:R50,R50)</f>
        <v>Lisa: 5</v>
      </c>
      <c r="R50" s="10" t="s">
        <v>13</v>
      </c>
      <c r="S50" s="118">
        <v>46</v>
      </c>
      <c r="T50" s="167" t="s">
        <v>125</v>
      </c>
    </row>
    <row r="51" spans="15:20" x14ac:dyDescent="0.35">
      <c r="O51" s="118">
        <v>47</v>
      </c>
      <c r="P51" s="167" t="s">
        <v>127</v>
      </c>
      <c r="Q51" s="10" t="str">
        <f>R51&amp;": "&amp;COUNTIF($R$5:R51,R51)</f>
        <v>Cle-O: 3</v>
      </c>
      <c r="R51" s="10" t="s">
        <v>60</v>
      </c>
      <c r="S51" s="118">
        <v>47</v>
      </c>
      <c r="T51" s="167" t="s">
        <v>127</v>
      </c>
    </row>
    <row r="52" spans="15:20" x14ac:dyDescent="0.35">
      <c r="O52" s="118">
        <v>48</v>
      </c>
      <c r="P52" s="167" t="s">
        <v>128</v>
      </c>
      <c r="Q52" s="10" t="str">
        <f>R52&amp;": "&amp;COUNTIF($R$5:R52,R52)</f>
        <v>Cle-O: 4</v>
      </c>
      <c r="R52" s="10" t="s">
        <v>60</v>
      </c>
      <c r="S52" s="118">
        <v>48</v>
      </c>
      <c r="T52" s="167" t="s">
        <v>128</v>
      </c>
    </row>
    <row r="53" spans="15:20" x14ac:dyDescent="0.35">
      <c r="O53" s="118">
        <v>49</v>
      </c>
      <c r="P53" s="167" t="s">
        <v>129</v>
      </c>
      <c r="Q53" s="10" t="str">
        <f>R53&amp;": "&amp;COUNTIF($R$5:R53,R53)</f>
        <v>Natasha: 3</v>
      </c>
      <c r="R53" s="10" t="s">
        <v>103</v>
      </c>
      <c r="S53" s="118">
        <v>49</v>
      </c>
      <c r="T53" s="167" t="s">
        <v>129</v>
      </c>
    </row>
    <row r="54" spans="15:20" x14ac:dyDescent="0.35">
      <c r="O54" s="118">
        <v>50</v>
      </c>
      <c r="P54" s="167" t="s">
        <v>130</v>
      </c>
      <c r="Q54" s="10" t="str">
        <f>R54&amp;": "&amp;COUNTIF($R$5:R54,R54)</f>
        <v>Apache: 2</v>
      </c>
      <c r="R54" s="10" t="s">
        <v>57</v>
      </c>
      <c r="S54" s="118">
        <v>50</v>
      </c>
      <c r="T54" s="167" t="s">
        <v>130</v>
      </c>
    </row>
    <row r="55" spans="15:20" x14ac:dyDescent="0.35">
      <c r="O55" s="118">
        <v>51</v>
      </c>
      <c r="P55" s="167" t="s">
        <v>150</v>
      </c>
      <c r="Q55" s="10" t="str">
        <f>R55&amp;": "&amp;COUNTIF($R$5:R55,R55)</f>
        <v>Dell: 2</v>
      </c>
      <c r="R55" s="10" t="s">
        <v>24</v>
      </c>
      <c r="S55" s="118">
        <v>51</v>
      </c>
      <c r="T55" s="167" t="s">
        <v>150</v>
      </c>
    </row>
    <row r="56" spans="15:20" x14ac:dyDescent="0.35">
      <c r="O56" s="118">
        <v>52</v>
      </c>
      <c r="P56" s="167" t="s">
        <v>134</v>
      </c>
      <c r="Q56" s="10" t="str">
        <f>R56&amp;": "&amp;COUNTIF($R$5:R56,R56)</f>
        <v>Lady-Pink: 2</v>
      </c>
      <c r="R56" s="10" t="s">
        <v>61</v>
      </c>
      <c r="S56" s="118">
        <v>52</v>
      </c>
      <c r="T56" s="167" t="s">
        <v>134</v>
      </c>
    </row>
    <row r="57" spans="15:20" x14ac:dyDescent="0.35">
      <c r="O57" s="118">
        <v>53</v>
      </c>
      <c r="P57" s="167" t="s">
        <v>145</v>
      </c>
      <c r="Q57" s="10" t="str">
        <f>R57&amp;": "&amp;COUNTIF($R$5:R57,R57)</f>
        <v>Toni Ann: 2</v>
      </c>
      <c r="R57" s="10" t="s">
        <v>5</v>
      </c>
      <c r="S57" s="118">
        <v>53</v>
      </c>
      <c r="T57" s="167" t="s">
        <v>145</v>
      </c>
    </row>
    <row r="58" spans="15:20" x14ac:dyDescent="0.35">
      <c r="O58" s="118">
        <v>54</v>
      </c>
      <c r="P58" s="167" t="s">
        <v>146</v>
      </c>
      <c r="Q58" s="10" t="str">
        <f>R58&amp;": "&amp;COUNTIF($R$5:R58,R58)</f>
        <v>Bella: 1</v>
      </c>
      <c r="R58" s="10" t="s">
        <v>122</v>
      </c>
      <c r="S58" s="118">
        <v>54</v>
      </c>
      <c r="T58" s="167" t="s">
        <v>146</v>
      </c>
    </row>
    <row r="59" spans="15:20" x14ac:dyDescent="0.35">
      <c r="O59" s="118">
        <v>55</v>
      </c>
      <c r="P59" s="167" t="s">
        <v>147</v>
      </c>
      <c r="Q59" s="10" t="str">
        <f>R59&amp;": "&amp;COUNTIF($R$5:R59,R59)</f>
        <v>Pancake: 1</v>
      </c>
      <c r="R59" s="10" t="s">
        <v>115</v>
      </c>
      <c r="S59" s="118">
        <v>55</v>
      </c>
      <c r="T59" s="167" t="s">
        <v>147</v>
      </c>
    </row>
    <row r="60" spans="15:20" x14ac:dyDescent="0.35">
      <c r="O60" s="118">
        <v>56</v>
      </c>
      <c r="P60" s="167" t="s">
        <v>149</v>
      </c>
      <c r="Q60" s="10" t="str">
        <f>R60&amp;": "&amp;COUNTIF($R$5:R60,R60)</f>
        <v>Bo-Bo: 2</v>
      </c>
      <c r="R60" s="10" t="s">
        <v>110</v>
      </c>
      <c r="S60" s="118">
        <v>56</v>
      </c>
      <c r="T60" s="167" t="s">
        <v>149</v>
      </c>
    </row>
    <row r="61" spans="15:20" x14ac:dyDescent="0.35">
      <c r="O61" s="118">
        <v>57</v>
      </c>
      <c r="P61" s="167" t="s">
        <v>151</v>
      </c>
      <c r="Q61" s="10" t="str">
        <f>R61&amp;": "&amp;COUNTIF($R$5:R61,R61)</f>
        <v>Lady-Pink: 3</v>
      </c>
      <c r="R61" s="10" t="s">
        <v>61</v>
      </c>
      <c r="S61" s="118">
        <v>57</v>
      </c>
      <c r="T61" s="167" t="s">
        <v>151</v>
      </c>
    </row>
    <row r="62" spans="15:20" x14ac:dyDescent="0.35">
      <c r="O62" s="168">
        <v>58</v>
      </c>
      <c r="P62" s="169" t="s">
        <v>152</v>
      </c>
      <c r="Q62" s="10" t="str">
        <f>R62&amp;": "&amp;COUNTIF($R$5:R62,R62)</f>
        <v>Dell: 3</v>
      </c>
      <c r="R62" s="10" t="s">
        <v>24</v>
      </c>
      <c r="S62" s="168">
        <v>58</v>
      </c>
      <c r="T62" s="169" t="s">
        <v>152</v>
      </c>
    </row>
    <row r="63" spans="15:20" x14ac:dyDescent="0.35">
      <c r="O63" s="118">
        <v>59</v>
      </c>
      <c r="P63" s="167" t="s">
        <v>153</v>
      </c>
      <c r="Q63" s="10" t="str">
        <f>R63&amp;": "&amp;COUNTIF($R$5:R63,R63)</f>
        <v>Ying-Jan: 1</v>
      </c>
      <c r="R63" s="10" t="s">
        <v>126</v>
      </c>
      <c r="S63" s="118">
        <v>59</v>
      </c>
      <c r="T63" s="167" t="s">
        <v>153</v>
      </c>
    </row>
    <row r="64" spans="15:20" x14ac:dyDescent="0.35">
      <c r="O64" s="118">
        <v>60</v>
      </c>
      <c r="P64" s="167" t="s">
        <v>154</v>
      </c>
      <c r="Q64" s="10" t="str">
        <f>R64&amp;": "&amp;COUNTIF($R$5:R64,R64)</f>
        <v>Lisa: 6</v>
      </c>
      <c r="R64" s="10" t="s">
        <v>13</v>
      </c>
      <c r="S64" s="118">
        <v>60</v>
      </c>
      <c r="T64" s="167" t="s">
        <v>154</v>
      </c>
    </row>
    <row r="65" spans="15:20" x14ac:dyDescent="0.35">
      <c r="O65" s="118">
        <v>61</v>
      </c>
      <c r="P65" s="167" t="s">
        <v>155</v>
      </c>
      <c r="Q65" s="10" t="str">
        <f>R65&amp;": "&amp;COUNTIF($R$5:R65,R65)</f>
        <v>Lisa: 7</v>
      </c>
      <c r="R65" s="10" t="s">
        <v>13</v>
      </c>
      <c r="S65" s="118">
        <v>61</v>
      </c>
      <c r="T65" s="167" t="s">
        <v>155</v>
      </c>
    </row>
    <row r="66" spans="15:20" x14ac:dyDescent="0.35">
      <c r="O66" s="118">
        <v>62</v>
      </c>
      <c r="P66" s="167" t="s">
        <v>158</v>
      </c>
      <c r="Q66" s="10" t="str">
        <f>R66&amp;": "&amp;COUNTIF($R$5:R66,R66)</f>
        <v>Apache: 3</v>
      </c>
      <c r="R66" s="10" t="s">
        <v>57</v>
      </c>
      <c r="S66" s="118">
        <v>62</v>
      </c>
      <c r="T66" s="167" t="s">
        <v>158</v>
      </c>
    </row>
    <row r="67" spans="15:20" x14ac:dyDescent="0.35">
      <c r="O67" s="118">
        <v>63</v>
      </c>
      <c r="P67" s="167" t="s">
        <v>159</v>
      </c>
      <c r="Q67" s="10" t="str">
        <f>R67&amp;": "&amp;COUNTIF($R$5:R67,R67)</f>
        <v>Apache: 4</v>
      </c>
      <c r="R67" s="10" t="s">
        <v>57</v>
      </c>
      <c r="S67" s="118">
        <v>63</v>
      </c>
      <c r="T67" s="167" t="s">
        <v>159</v>
      </c>
    </row>
    <row r="68" spans="15:20" x14ac:dyDescent="0.35">
      <c r="O68" s="118">
        <v>64</v>
      </c>
      <c r="P68" s="167" t="s">
        <v>160</v>
      </c>
      <c r="Q68" s="10" t="str">
        <f>R68&amp;": "&amp;COUNTIF($R$5:R68,R68)</f>
        <v>Bella: 2</v>
      </c>
      <c r="R68" s="10" t="s">
        <v>122</v>
      </c>
      <c r="S68" s="118">
        <v>64</v>
      </c>
      <c r="T68" s="167" t="s">
        <v>160</v>
      </c>
    </row>
    <row r="69" spans="15:20" x14ac:dyDescent="0.35">
      <c r="O69" s="118">
        <v>65</v>
      </c>
      <c r="P69" s="167" t="s">
        <v>175</v>
      </c>
      <c r="Q69" s="10" t="str">
        <f>R69&amp;": "&amp;COUNTIF($R$5:R69,R69)</f>
        <v>Bovi: 1</v>
      </c>
      <c r="R69" s="10" t="s">
        <v>127</v>
      </c>
      <c r="S69" s="118">
        <v>65</v>
      </c>
      <c r="T69" s="167" t="s">
        <v>175</v>
      </c>
    </row>
    <row r="70" spans="15:20" x14ac:dyDescent="0.35">
      <c r="O70" s="118">
        <v>66</v>
      </c>
      <c r="P70" s="167" t="s">
        <v>176</v>
      </c>
      <c r="Q70" s="10" t="str">
        <f>R70&amp;": "&amp;COUNTIF($R$5:R70,R70)</f>
        <v>Cle-O: 5</v>
      </c>
      <c r="R70" s="10" t="s">
        <v>60</v>
      </c>
      <c r="S70" s="118">
        <v>66</v>
      </c>
      <c r="T70" s="167" t="s">
        <v>176</v>
      </c>
    </row>
    <row r="71" spans="15:20" x14ac:dyDescent="0.35">
      <c r="O71" s="118">
        <v>67</v>
      </c>
      <c r="P71" s="167" t="s">
        <v>201</v>
      </c>
      <c r="Q71" s="10" t="str">
        <f>R71&amp;": "&amp;COUNTIF($R$5:R71,R71)</f>
        <v>Julie: 1</v>
      </c>
      <c r="R71" s="10" t="s">
        <v>149</v>
      </c>
      <c r="S71" s="118">
        <v>67</v>
      </c>
      <c r="T71" s="167" t="s">
        <v>201</v>
      </c>
    </row>
    <row r="72" spans="15:20" x14ac:dyDescent="0.35">
      <c r="O72" s="118">
        <v>68</v>
      </c>
      <c r="P72" s="167" t="s">
        <v>202</v>
      </c>
      <c r="Q72" s="10" t="str">
        <f>R72&amp;": "&amp;COUNTIF($R$5:R72,R72)</f>
        <v>Praery: 2</v>
      </c>
      <c r="R72" s="10" t="s">
        <v>84</v>
      </c>
      <c r="S72" s="118">
        <v>68</v>
      </c>
      <c r="T72" s="167" t="s">
        <v>202</v>
      </c>
    </row>
    <row r="73" spans="15:20" x14ac:dyDescent="0.35">
      <c r="O73" s="118">
        <v>69</v>
      </c>
      <c r="P73" s="167" t="s">
        <v>203</v>
      </c>
      <c r="Q73" s="10" t="str">
        <f>R73&amp;": "&amp;COUNTIF($R$5:R73,R73)</f>
        <v>Natasha: 4</v>
      </c>
      <c r="R73" s="10" t="s">
        <v>103</v>
      </c>
      <c r="S73" s="118">
        <v>69</v>
      </c>
      <c r="T73" s="167" t="s">
        <v>203</v>
      </c>
    </row>
    <row r="74" spans="15:20" x14ac:dyDescent="0.35">
      <c r="O74" s="118">
        <v>70</v>
      </c>
      <c r="P74" s="167" t="s">
        <v>229</v>
      </c>
      <c r="Q74" s="10" t="str">
        <f>R74&amp;": "&amp;COUNTIF($R$5:R74,R74)</f>
        <v>Beauty: 1</v>
      </c>
      <c r="R74" s="10" t="s">
        <v>150</v>
      </c>
      <c r="S74" s="118">
        <v>70</v>
      </c>
      <c r="T74" s="167" t="s">
        <v>229</v>
      </c>
    </row>
    <row r="75" spans="15:20" x14ac:dyDescent="0.35">
      <c r="O75" s="118">
        <v>71</v>
      </c>
      <c r="P75" s="167" t="s">
        <v>237</v>
      </c>
      <c r="Q75" s="10" t="str">
        <f>R75&amp;": "&amp;COUNTIF($R$5:R75,R75)</f>
        <v>Charlotte: 1</v>
      </c>
      <c r="R75" s="167" t="s">
        <v>134</v>
      </c>
      <c r="S75" s="118">
        <v>71</v>
      </c>
      <c r="T75" s="167" t="s">
        <v>237</v>
      </c>
    </row>
    <row r="76" spans="15:20" x14ac:dyDescent="0.35">
      <c r="O76" s="118">
        <v>72</v>
      </c>
      <c r="P76" s="179" t="s">
        <v>241</v>
      </c>
      <c r="Q76" s="10" t="str">
        <f>R76&amp;": "&amp;COUNTIF($R$5:R76,R76)</f>
        <v>Lady-Pink: 4</v>
      </c>
      <c r="R76" s="167" t="s">
        <v>61</v>
      </c>
      <c r="S76" s="118">
        <v>72</v>
      </c>
      <c r="T76" s="179" t="s">
        <v>241</v>
      </c>
    </row>
    <row r="77" spans="15:20" x14ac:dyDescent="0.35">
      <c r="O77" s="118">
        <v>73</v>
      </c>
      <c r="P77" s="179" t="s">
        <v>242</v>
      </c>
      <c r="Q77" s="10" t="str">
        <f>R77&amp;": "&amp;COUNTIF($R$5:R77,R77)</f>
        <v>Lady-Pink: 5</v>
      </c>
      <c r="R77" s="167" t="s">
        <v>61</v>
      </c>
      <c r="S77" s="118">
        <v>73</v>
      </c>
      <c r="T77" s="179" t="s">
        <v>242</v>
      </c>
    </row>
    <row r="78" spans="15:20" x14ac:dyDescent="0.35">
      <c r="O78" s="118">
        <v>74</v>
      </c>
      <c r="P78" s="10" t="s">
        <v>243</v>
      </c>
      <c r="Q78" s="10" t="str">
        <f>R78&amp;": "&amp;COUNTIF($R$5:R78,R78)</f>
        <v>Dell: 4</v>
      </c>
      <c r="R78" s="10" t="s">
        <v>24</v>
      </c>
      <c r="S78" s="118">
        <v>74</v>
      </c>
      <c r="T78" s="10" t="s">
        <v>243</v>
      </c>
    </row>
  </sheetData>
  <mergeCells count="15">
    <mergeCell ref="H5:H6"/>
    <mergeCell ref="B5:B6"/>
    <mergeCell ref="C5:C6"/>
    <mergeCell ref="D5:D6"/>
    <mergeCell ref="E5:E6"/>
    <mergeCell ref="F5:F6"/>
    <mergeCell ref="G5:G6"/>
    <mergeCell ref="K14:M15"/>
    <mergeCell ref="J14:J15"/>
    <mergeCell ref="J16:J17"/>
    <mergeCell ref="K16:M17"/>
    <mergeCell ref="J5:L6"/>
    <mergeCell ref="M5:M6"/>
    <mergeCell ref="J12:K13"/>
    <mergeCell ref="M12:M13"/>
  </mergeCells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4" r:id="rId4" name="Spinner 6">
              <controlPr defaultSize="0" autoPict="0">
                <anchor moveWithCells="1" sizeWithCells="1">
                  <from>
                    <xdr:col>12</xdr:col>
                    <xdr:colOff>25400</xdr:colOff>
                    <xdr:row>0</xdr:row>
                    <xdr:rowOff>158750</xdr:rowOff>
                  </from>
                  <to>
                    <xdr:col>12</xdr:col>
                    <xdr:colOff>552450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List!#REF!</xm:f>
          </x14:formula1>
          <xm:sqref>T27 P27</xm:sqref>
        </x14:dataValidation>
        <x14:dataValidation type="list" allowBlank="1" showInputMessage="1" showErrorMessage="1">
          <x14:formula1>
            <xm:f>List!$I$7:$I$44</xm:f>
          </x14:formula1>
          <xm:sqref>R5:R74 R78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A1:AD91"/>
  <sheetViews>
    <sheetView workbookViewId="0">
      <selection activeCell="W81" sqref="W81"/>
    </sheetView>
  </sheetViews>
  <sheetFormatPr defaultRowHeight="15.5" x14ac:dyDescent="0.35"/>
  <cols>
    <col min="1" max="1" width="1.765625" customWidth="1"/>
    <col min="2" max="2" width="4.3046875" customWidth="1"/>
    <col min="3" max="3" width="10" customWidth="1"/>
    <col min="4" max="4" width="12.15234375" customWidth="1"/>
    <col min="5" max="5" width="7.07421875" style="18" bestFit="1" customWidth="1"/>
    <col min="6" max="6" width="8.765625" customWidth="1"/>
    <col min="7" max="7" width="24" customWidth="1"/>
    <col min="8" max="8" width="6.4609375" bestFit="1" customWidth="1"/>
    <col min="9" max="9" width="2.07421875" customWidth="1"/>
    <col min="10" max="10" width="13.53515625" customWidth="1"/>
    <col min="11" max="11" width="11.07421875" customWidth="1"/>
    <col min="12" max="12" width="14.921875" style="18" customWidth="1"/>
    <col min="13" max="13" width="6.4609375" customWidth="1"/>
    <col min="14" max="14" width="6.15234375" customWidth="1"/>
    <col min="15" max="17" width="5.765625" customWidth="1"/>
    <col min="18" max="18" width="33.23046875" customWidth="1"/>
    <col min="19" max="19" width="8.765625" style="5" bestFit="1" customWidth="1"/>
    <col min="20" max="20" width="11.3046875" customWidth="1"/>
    <col min="21" max="21" width="22.61328125" style="18" customWidth="1"/>
    <col min="22" max="22" width="18.84375" customWidth="1"/>
    <col min="23" max="23" width="17.23046875" customWidth="1"/>
    <col min="28" max="28" width="26.53515625" customWidth="1"/>
    <col min="29" max="29" width="25" customWidth="1"/>
    <col min="30" max="30" width="6.4609375" style="35" customWidth="1"/>
  </cols>
  <sheetData>
    <row r="1" spans="1:30" x14ac:dyDescent="0.35">
      <c r="A1" s="10"/>
      <c r="B1" s="10"/>
      <c r="C1" s="10"/>
      <c r="D1" s="10"/>
      <c r="E1" s="9"/>
      <c r="F1" s="10"/>
      <c r="G1" s="10"/>
      <c r="H1" s="10"/>
      <c r="I1" s="10"/>
      <c r="J1" s="10"/>
      <c r="K1" s="10"/>
      <c r="L1" s="9"/>
      <c r="M1" s="10"/>
      <c r="N1" s="10"/>
      <c r="O1" s="10"/>
      <c r="P1" s="10"/>
      <c r="Q1" s="10"/>
      <c r="R1" s="10"/>
      <c r="S1" s="12"/>
      <c r="T1" s="10"/>
      <c r="U1" s="9"/>
      <c r="V1" s="10"/>
      <c r="W1" s="10"/>
      <c r="X1" s="10"/>
      <c r="Y1" s="10"/>
    </row>
    <row r="2" spans="1:30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D2"/>
    </row>
    <row r="3" spans="1:30" ht="15" customHeight="1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D3"/>
    </row>
    <row r="4" spans="1:30" ht="15" customHeight="1" thickBo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70">
        <v>1</v>
      </c>
      <c r="T4" s="170">
        <v>2</v>
      </c>
      <c r="U4" s="170">
        <v>3</v>
      </c>
      <c r="V4" s="170">
        <v>4</v>
      </c>
      <c r="W4" s="170">
        <v>5</v>
      </c>
      <c r="X4" s="62">
        <v>6</v>
      </c>
      <c r="Y4" s="62">
        <v>7</v>
      </c>
      <c r="AD4"/>
    </row>
    <row r="5" spans="1:30" ht="15" customHeight="1" x14ac:dyDescent="0.35">
      <c r="A5" s="10"/>
      <c r="B5" s="301" t="s">
        <v>74</v>
      </c>
      <c r="C5" s="303" t="s">
        <v>43</v>
      </c>
      <c r="D5" s="303" t="s">
        <v>81</v>
      </c>
      <c r="E5" s="305" t="s">
        <v>2</v>
      </c>
      <c r="F5" s="305" t="s">
        <v>3</v>
      </c>
      <c r="G5" s="303" t="s">
        <v>77</v>
      </c>
      <c r="H5" s="299" t="s">
        <v>69</v>
      </c>
      <c r="I5" s="10"/>
      <c r="J5" s="312" t="str">
        <f>VLOOKUP($N$5,List!$B$7:$X$200,7,0)</f>
        <v>Ban Dan</v>
      </c>
      <c r="K5" s="313"/>
      <c r="L5" s="314"/>
      <c r="M5" s="318">
        <f>COUNT(B7:B22)</f>
        <v>3</v>
      </c>
      <c r="N5" s="10">
        <v>1</v>
      </c>
      <c r="O5" s="10"/>
      <c r="P5" s="10"/>
      <c r="Q5" s="10"/>
      <c r="R5" s="12"/>
      <c r="S5" s="118">
        <v>1</v>
      </c>
      <c r="T5" s="167" t="s">
        <v>7</v>
      </c>
      <c r="U5" s="118" t="str">
        <f>V5&amp;": "&amp;COUNTIF(V$5:V5,V5)</f>
        <v>Khu Mueng: 1</v>
      </c>
      <c r="V5" s="118" t="s">
        <v>131</v>
      </c>
      <c r="W5" s="9" t="str">
        <f>Record!L8</f>
        <v>Sold</v>
      </c>
      <c r="X5" s="118">
        <v>1</v>
      </c>
      <c r="Y5" s="167" t="s">
        <v>7</v>
      </c>
      <c r="AD5"/>
    </row>
    <row r="6" spans="1:30" ht="15" customHeight="1" thickBot="1" x14ac:dyDescent="0.4">
      <c r="A6" s="10"/>
      <c r="B6" s="307"/>
      <c r="C6" s="326"/>
      <c r="D6" s="326"/>
      <c r="E6" s="327"/>
      <c r="F6" s="327"/>
      <c r="G6" s="326"/>
      <c r="H6" s="328"/>
      <c r="I6" s="10"/>
      <c r="J6" s="315"/>
      <c r="K6" s="316"/>
      <c r="L6" s="317"/>
      <c r="M6" s="319"/>
      <c r="N6" s="10"/>
      <c r="O6" s="10"/>
      <c r="P6" s="10"/>
      <c r="Q6" s="10"/>
      <c r="R6" s="10"/>
      <c r="S6" s="118">
        <v>2</v>
      </c>
      <c r="T6" s="167" t="s">
        <v>5</v>
      </c>
      <c r="U6" s="118" t="str">
        <f>V6&amp;": "&amp;COUNTIF(V$5:V6,V6)</f>
        <v>Khu Mueng: 2</v>
      </c>
      <c r="V6" s="118" t="s">
        <v>131</v>
      </c>
      <c r="W6" s="9" t="str">
        <f>Record!L9</f>
        <v>Alive</v>
      </c>
      <c r="X6" s="118">
        <v>2</v>
      </c>
      <c r="Y6" s="167" t="s">
        <v>5</v>
      </c>
      <c r="AD6"/>
    </row>
    <row r="7" spans="1:30" ht="15" customHeight="1" thickBot="1" x14ac:dyDescent="0.4">
      <c r="A7" s="15">
        <v>1</v>
      </c>
      <c r="B7" s="207">
        <f>IFERROR(VLOOKUP($J$5&amp;": "&amp;$A7,Farm!$U$5:'Farm'!Y100,4,0),"")</f>
        <v>4</v>
      </c>
      <c r="C7" s="154" t="str">
        <f>IFERROR(VLOOKUP($B7,Record!$B$8:'Record'!Y100,2,0),"")</f>
        <v>Zozibini</v>
      </c>
      <c r="D7" s="63">
        <f>IFERROR(VLOOKUP($B7,Record!$B$8:'Record'!$Y$100,4,0),"")</f>
        <v>43814</v>
      </c>
      <c r="E7" s="154" t="str">
        <f>IFERROR(VLOOKUP($B7,Record!$B$8:'Record'!$Y$100,3,0),"")</f>
        <v>Female</v>
      </c>
      <c r="F7" s="157">
        <f>IFERROR(VLOOKUP($B7,Record!$B$8:'Record'!$Y$100,12,0),"")</f>
        <v>4000</v>
      </c>
      <c r="G7" s="213" t="str">
        <f>IFERROR(VLOOKUP($B7,Record!$B$8:'Record'!$Y$100,13,0),"")</f>
        <v xml:space="preserve">0 Years 9 Month 15 Days </v>
      </c>
      <c r="H7" s="171" t="str">
        <f>IFERROR(VLOOKUP($B7,Record!$B$8:'Record'!$Y$100,11,0),"")</f>
        <v>Dead</v>
      </c>
      <c r="I7" s="10"/>
      <c r="J7" s="176" t="s">
        <v>6</v>
      </c>
      <c r="K7" s="177">
        <f>IF(COUNTIF($E$7:$E$45,$J$7)=0,"",COUNTIF($E$7:$E$45,$J$7))</f>
        <v>3</v>
      </c>
      <c r="L7" s="174" t="s">
        <v>21</v>
      </c>
      <c r="M7" s="175">
        <f>IF(COUNTIF($H$7:$H$45,$L$7)=0,"",COUNTIF($H$7:$H$45,$L$7))</f>
        <v>1</v>
      </c>
      <c r="N7" s="10"/>
      <c r="O7" s="10"/>
      <c r="P7" s="10"/>
      <c r="Q7" s="10"/>
      <c r="R7" s="10"/>
      <c r="S7" s="118">
        <v>3</v>
      </c>
      <c r="T7" s="167" t="s">
        <v>9</v>
      </c>
      <c r="U7" s="118" t="str">
        <f>V7&amp;": "&amp;COUNTIF(V$5:V7,V7)</f>
        <v>Khu Mueng: 3</v>
      </c>
      <c r="V7" s="118" t="s">
        <v>131</v>
      </c>
      <c r="W7" s="9" t="str">
        <f>Record!L10</f>
        <v>Dead</v>
      </c>
      <c r="X7" s="118">
        <v>3</v>
      </c>
      <c r="Y7" s="167" t="s">
        <v>9</v>
      </c>
      <c r="AD7"/>
    </row>
    <row r="8" spans="1:30" ht="15" customHeight="1" thickBot="1" x14ac:dyDescent="0.4">
      <c r="A8" s="15">
        <v>2</v>
      </c>
      <c r="B8" s="208">
        <f>IFERROR(VLOOKUP($J$5&amp;": "&amp;$A8,Farm!$U$5:'Farm'!Y101,4,0),"")</f>
        <v>6</v>
      </c>
      <c r="C8" s="155" t="str">
        <f>IFERROR(VLOOKUP($B8,Record!$B$8:'Record'!Y101,2,0),"")</f>
        <v>Lisa</v>
      </c>
      <c r="D8" s="8">
        <f>IFERROR(VLOOKUP($B8,Record!$B$8:'Record'!$Y$100,4,0),"")</f>
        <v>43823</v>
      </c>
      <c r="E8" s="155" t="str">
        <f>IFERROR(VLOOKUP($B8,Record!$B$8:'Record'!$Y$100,3,0),"")</f>
        <v>Female</v>
      </c>
      <c r="F8" s="158">
        <f>IFERROR(VLOOKUP($B8,Record!$B$8:'Record'!$Y$100,12,0),"")</f>
        <v>3100</v>
      </c>
      <c r="G8" s="214" t="str">
        <f ca="1">IFERROR(VLOOKUP($B8,Record!$B$8:'Record'!$Y$100,13,0),"")</f>
        <v xml:space="preserve">3 Years 5 Month 13 Days </v>
      </c>
      <c r="H8" s="172" t="str">
        <f>IFERROR(VLOOKUP($B8,Record!$B$8:'Record'!$Y$100,11,0),"")</f>
        <v>Alive</v>
      </c>
      <c r="I8" s="10"/>
      <c r="J8" s="176" t="s">
        <v>8</v>
      </c>
      <c r="K8" s="177" t="str">
        <f>IF(COUNTIF($E$7:$E$45,$J$8)=0,"",COUNTIF($E$7:$E$45,$J$8))</f>
        <v/>
      </c>
      <c r="L8" s="174" t="s">
        <v>35</v>
      </c>
      <c r="M8" s="175">
        <f>IF(COUNTIF($H$7:$H$45,$L$8)=0,"",COUNTIF($H$7:$H$45,$L$8))</f>
        <v>2</v>
      </c>
      <c r="N8" s="10"/>
      <c r="O8" s="10"/>
      <c r="P8" s="10"/>
      <c r="Q8" s="10"/>
      <c r="R8" s="10"/>
      <c r="S8" s="118">
        <v>4</v>
      </c>
      <c r="T8" s="167" t="s">
        <v>10</v>
      </c>
      <c r="U8" s="118" t="str">
        <f>V8&amp;": "&amp;COUNTIF(V$5:V8,V8)</f>
        <v>Ban Dan: 1</v>
      </c>
      <c r="V8" s="118" t="s">
        <v>11</v>
      </c>
      <c r="W8" s="9" t="str">
        <f>Record!L11</f>
        <v>Dead</v>
      </c>
      <c r="X8" s="118">
        <v>4</v>
      </c>
      <c r="Y8" s="167" t="s">
        <v>10</v>
      </c>
      <c r="AD8"/>
    </row>
    <row r="9" spans="1:30" ht="16" thickBot="1" x14ac:dyDescent="0.4">
      <c r="A9" s="15">
        <v>3</v>
      </c>
      <c r="B9" s="208">
        <f>IFERROR(VLOOKUP($J$5&amp;": "&amp;$A9,Farm!$U$5:'Farm'!Y102,4,0),"")</f>
        <v>7</v>
      </c>
      <c r="C9" s="155" t="str">
        <f>IFERROR(VLOOKUP($B9,Record!$B$8:'Record'!Y102,2,0),"")</f>
        <v>Lucy</v>
      </c>
      <c r="D9" s="8">
        <f>IFERROR(VLOOKUP($B9,Record!$B$8:'Record'!$Y$100,4,0),"")</f>
        <v>43823</v>
      </c>
      <c r="E9" s="155" t="str">
        <f>IFERROR(VLOOKUP($B9,Record!$B$8:'Record'!$Y$100,3,0),"")</f>
        <v>Female</v>
      </c>
      <c r="F9" s="158">
        <f>IFERROR(VLOOKUP($B9,Record!$B$8:'Record'!$Y$100,12,0),"")</f>
        <v>3100</v>
      </c>
      <c r="G9" s="214" t="str">
        <f>IFERROR(VLOOKUP($B9,Record!$B$8:'Record'!$Y$100,13,0),"")</f>
        <v xml:space="preserve">0 Years 9 Month 5 Days </v>
      </c>
      <c r="H9" s="172" t="str">
        <f>IFERROR(VLOOKUP($B9,Record!$B$8:'Record'!$Y$100,11,0),"")</f>
        <v>Dead</v>
      </c>
      <c r="I9" s="15"/>
      <c r="J9" s="203" t="s">
        <v>3</v>
      </c>
      <c r="K9" s="204">
        <f>SUM(F7:F220)</f>
        <v>10200</v>
      </c>
      <c r="L9" s="174" t="s">
        <v>133</v>
      </c>
      <c r="M9" s="175" t="str">
        <f>IF(COUNTIF($H$7:$H$45,$L$9)=0,"",COUNTIF($H$7:$H$45,$L$9))</f>
        <v/>
      </c>
      <c r="N9" s="10"/>
      <c r="O9" s="10"/>
      <c r="P9" s="10"/>
      <c r="Q9" s="10"/>
      <c r="R9" s="10"/>
      <c r="S9" s="118">
        <v>5</v>
      </c>
      <c r="T9" s="167" t="s">
        <v>103</v>
      </c>
      <c r="U9" s="118" t="str">
        <f>V9&amp;": "&amp;COUNTIF(V$5:V9,V9)</f>
        <v>Satuk: 1</v>
      </c>
      <c r="V9" s="118" t="s">
        <v>12</v>
      </c>
      <c r="W9" s="9" t="str">
        <f>Record!L12</f>
        <v>Alive</v>
      </c>
      <c r="X9" s="118">
        <v>5</v>
      </c>
      <c r="Y9" s="167" t="s">
        <v>103</v>
      </c>
      <c r="AD9"/>
    </row>
    <row r="10" spans="1:30" ht="16" thickBot="1" x14ac:dyDescent="0.4">
      <c r="A10" s="15">
        <v>4</v>
      </c>
      <c r="B10" s="208" t="str">
        <f>IFERROR(VLOOKUP($J$5&amp;": "&amp;$A10,Farm!$U$5:'Farm'!Y103,4,0),"")</f>
        <v/>
      </c>
      <c r="C10" s="155" t="str">
        <f>IFERROR(VLOOKUP($B10,Record!$B$8:'Record'!Y103,2,0),"")</f>
        <v/>
      </c>
      <c r="D10" s="8" t="str">
        <f>IFERROR(VLOOKUP($B10,Record!$B$8:'Record'!$Y$100,4,0),"")</f>
        <v/>
      </c>
      <c r="E10" s="155" t="str">
        <f>IFERROR(VLOOKUP($B10,Record!$B$8:'Record'!$Y$100,3,0),"")</f>
        <v/>
      </c>
      <c r="F10" s="158" t="str">
        <f>IFERROR(VLOOKUP($B10,Record!$B$8:'Record'!$Y$100,12,0),"")</f>
        <v/>
      </c>
      <c r="G10" s="214" t="str">
        <f>IFERROR(VLOOKUP($B10,Record!$B$8:'Record'!$Y$100,13,0),"")</f>
        <v/>
      </c>
      <c r="H10" s="172" t="str">
        <f>IFERROR(VLOOKUP($B10,Record!$B$8:'Record'!$Y$100,11,0),"")</f>
        <v/>
      </c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18">
        <v>6</v>
      </c>
      <c r="T10" s="167" t="s">
        <v>13</v>
      </c>
      <c r="U10" s="118" t="str">
        <f>V10&amp;": "&amp;COUNTIF(V$5:V10,V10)</f>
        <v>Ban Dan: 2</v>
      </c>
      <c r="V10" s="118" t="s">
        <v>11</v>
      </c>
      <c r="W10" s="9" t="str">
        <f>Record!L13</f>
        <v>Alive</v>
      </c>
      <c r="X10" s="118">
        <v>6</v>
      </c>
      <c r="Y10" s="167" t="s">
        <v>13</v>
      </c>
      <c r="AD10"/>
    </row>
    <row r="11" spans="1:30" ht="15" customHeight="1" x14ac:dyDescent="0.35">
      <c r="A11" s="15">
        <v>5</v>
      </c>
      <c r="B11" s="208" t="str">
        <f>IFERROR(VLOOKUP($J$5&amp;": "&amp;$A11,Farm!$U$5:'Farm'!Y104,4,0),"")</f>
        <v/>
      </c>
      <c r="C11" s="155" t="str">
        <f>IFERROR(VLOOKUP($B11,Record!$B$8:'Record'!Y104,2,0),"")</f>
        <v/>
      </c>
      <c r="D11" s="8" t="str">
        <f>IFERROR(VLOOKUP($B11,Record!$B$8:'Record'!$Y$100,4,0),"")</f>
        <v/>
      </c>
      <c r="E11" s="155" t="str">
        <f>IFERROR(VLOOKUP($B11,Record!$B$8:'Record'!$Y$100,3,0),"")</f>
        <v/>
      </c>
      <c r="F11" s="158" t="str">
        <f>IFERROR(VLOOKUP($B11,Record!$B$8:'Record'!$Y$100,12,0),"")</f>
        <v/>
      </c>
      <c r="G11" s="214" t="str">
        <f>IFERROR(VLOOKUP($B11,Record!$B$8:'Record'!$Y$100,13,0),"")</f>
        <v/>
      </c>
      <c r="H11" s="172" t="str">
        <f>IFERROR(VLOOKUP($B11,Record!$B$8:'Record'!$Y$100,11,0),"")</f>
        <v/>
      </c>
      <c r="I11" s="15"/>
      <c r="J11" s="320" t="s">
        <v>94</v>
      </c>
      <c r="K11" s="321"/>
      <c r="L11" s="321"/>
      <c r="M11" s="324">
        <f>SUM(M13:M18)</f>
        <v>74</v>
      </c>
      <c r="N11" s="301" t="s">
        <v>21</v>
      </c>
      <c r="O11" s="308" t="s">
        <v>35</v>
      </c>
      <c r="P11" s="310" t="s">
        <v>133</v>
      </c>
      <c r="Q11" s="10"/>
      <c r="R11" s="10"/>
      <c r="S11" s="168">
        <v>7</v>
      </c>
      <c r="T11" s="169" t="s">
        <v>14</v>
      </c>
      <c r="U11" s="118" t="str">
        <f>V11&amp;": "&amp;COUNTIF(V$5:V11,V11)</f>
        <v>Ban Dan: 3</v>
      </c>
      <c r="V11" s="168" t="s">
        <v>11</v>
      </c>
      <c r="W11" s="9" t="str">
        <f>Record!L14</f>
        <v>Dead</v>
      </c>
      <c r="X11" s="168">
        <v>7</v>
      </c>
      <c r="Y11" s="169" t="s">
        <v>14</v>
      </c>
      <c r="AD11"/>
    </row>
    <row r="12" spans="1:30" ht="15.75" customHeight="1" thickBot="1" x14ac:dyDescent="0.4">
      <c r="A12" s="15">
        <v>6</v>
      </c>
      <c r="B12" s="208" t="str">
        <f>IFERROR(VLOOKUP($J$5&amp;": "&amp;$A12,Farm!$U$5:'Farm'!Y105,4,0),"")</f>
        <v/>
      </c>
      <c r="C12" s="155" t="str">
        <f>IFERROR(VLOOKUP($B12,Record!$B$8:'Record'!Y105,2,0),"")</f>
        <v/>
      </c>
      <c r="D12" s="8" t="str">
        <f>IFERROR(VLOOKUP($B12,Record!$B$8:'Record'!$Y$100,4,0),"")</f>
        <v/>
      </c>
      <c r="E12" s="155" t="str">
        <f>IFERROR(VLOOKUP($B12,Record!$B$8:'Record'!$Y$100,3,0),"")</f>
        <v/>
      </c>
      <c r="F12" s="158" t="str">
        <f>IFERROR(VLOOKUP($B12,Record!$B$8:'Record'!$Y$100,12,0),"")</f>
        <v/>
      </c>
      <c r="G12" s="214" t="str">
        <f>IFERROR(VLOOKUP($B12,Record!$B$8:'Record'!$Y$100,13,0),"")</f>
        <v/>
      </c>
      <c r="H12" s="172" t="str">
        <f>IFERROR(VLOOKUP($B12,Record!$B$8:'Record'!$Y$100,11,0),"")</f>
        <v/>
      </c>
      <c r="I12" s="15"/>
      <c r="J12" s="322"/>
      <c r="K12" s="323"/>
      <c r="L12" s="323"/>
      <c r="M12" s="325"/>
      <c r="N12" s="307"/>
      <c r="O12" s="309"/>
      <c r="P12" s="311"/>
      <c r="Q12" s="10"/>
      <c r="R12" s="10"/>
      <c r="S12" s="118">
        <v>8</v>
      </c>
      <c r="T12" s="167" t="s">
        <v>31</v>
      </c>
      <c r="U12" s="118" t="str">
        <f>V12&amp;": "&amp;COUNTIF(V$5:V12,V12)</f>
        <v>Sai Su Nee goat Farm: 1</v>
      </c>
      <c r="V12" s="118" t="s">
        <v>105</v>
      </c>
      <c r="W12" s="9" t="str">
        <f>Record!L15</f>
        <v>Dead</v>
      </c>
      <c r="X12" s="118">
        <v>8</v>
      </c>
      <c r="Y12" s="167" t="s">
        <v>31</v>
      </c>
      <c r="AD12"/>
    </row>
    <row r="13" spans="1:30" x14ac:dyDescent="0.35">
      <c r="A13" s="15">
        <v>7</v>
      </c>
      <c r="B13" s="208" t="str">
        <f>IFERROR(VLOOKUP($J$5&amp;": "&amp;$A13,Farm!$U$5:'Farm'!Y106,4,0),"")</f>
        <v/>
      </c>
      <c r="C13" s="155" t="str">
        <f>IFERROR(VLOOKUP($B13,Record!$B$8:'Record'!Y106,2,0),"")</f>
        <v/>
      </c>
      <c r="D13" s="8" t="str">
        <f>IFERROR(VLOOKUP($B13,Record!$B$8:'Record'!$Y$100,4,0),"")</f>
        <v/>
      </c>
      <c r="E13" s="155" t="str">
        <f>IFERROR(VLOOKUP($B13,Record!$B$8:'Record'!$Y$100,3,0),"")</f>
        <v/>
      </c>
      <c r="F13" s="158" t="str">
        <f>IFERROR(VLOOKUP($B13,Record!$B$8:'Record'!$Y$100,12,0),"")</f>
        <v/>
      </c>
      <c r="G13" s="214" t="str">
        <f>IFERROR(VLOOKUP($B13,Record!$B$8:'Record'!$Y$100,13,0),"")</f>
        <v/>
      </c>
      <c r="H13" s="172" t="str">
        <f>IFERROR(VLOOKUP($B13,Record!$B$8:'Record'!$Y$100,11,0),"")</f>
        <v/>
      </c>
      <c r="I13" s="15"/>
      <c r="J13" s="58" t="s">
        <v>11</v>
      </c>
      <c r="K13" s="59"/>
      <c r="L13" s="59"/>
      <c r="M13" s="195">
        <f>COUNTIF(Farm!$V$5:'Farm'!$V$100,$J13)</f>
        <v>3</v>
      </c>
      <c r="N13" s="197">
        <f>COUNTIFS(Farm!$V$5:'Farm'!$V$100,$J13,Farm!$W$5:'Farm'!$W$100,$N$11)</f>
        <v>1</v>
      </c>
      <c r="O13" s="198">
        <f>COUNTIFS(Farm!$V$5:'Farm'!$V$100,$J13,Farm!$W$5:'Farm'!$W$100,$O$11)</f>
        <v>2</v>
      </c>
      <c r="P13" s="198">
        <f>COUNTIFS(Farm!$V$5:'Farm'!$V$100,$J13,Farm!$W$5:'Farm'!$W$100,$P$11)</f>
        <v>0</v>
      </c>
      <c r="Q13" s="10"/>
      <c r="R13" s="10"/>
      <c r="S13" s="118">
        <v>9</v>
      </c>
      <c r="T13" s="167" t="s">
        <v>20</v>
      </c>
      <c r="U13" s="118" t="str">
        <f>V13&amp;": "&amp;COUNTIF(V$5:V13,V13)</f>
        <v>Sai Su Nee goat Farm: 2</v>
      </c>
      <c r="V13" s="118" t="s">
        <v>105</v>
      </c>
      <c r="W13" s="9" t="str">
        <f>Record!L16</f>
        <v>Dead</v>
      </c>
      <c r="X13" s="118">
        <v>9</v>
      </c>
      <c r="Y13" s="167" t="s">
        <v>20</v>
      </c>
      <c r="AD13"/>
    </row>
    <row r="14" spans="1:30" x14ac:dyDescent="0.35">
      <c r="A14" s="15">
        <v>8</v>
      </c>
      <c r="B14" s="208" t="str">
        <f>IFERROR(VLOOKUP($J$5&amp;": "&amp;$A14,Farm!$U$5:'Farm'!Y107,4,0),"")</f>
        <v/>
      </c>
      <c r="C14" s="155" t="str">
        <f>IFERROR(VLOOKUP($B14,Record!$B$8:'Record'!Y107,2,0),"")</f>
        <v/>
      </c>
      <c r="D14" s="8" t="str">
        <f>IFERROR(VLOOKUP($B14,Record!$B$8:'Record'!$Y$100,4,0),"")</f>
        <v/>
      </c>
      <c r="E14" s="155" t="str">
        <f>IFERROR(VLOOKUP($B14,Record!$B$8:'Record'!$Y$100,3,0),"")</f>
        <v/>
      </c>
      <c r="F14" s="158" t="str">
        <f>IFERROR(VLOOKUP($B14,Record!$B$8:'Record'!$Y$100,12,0),"")</f>
        <v/>
      </c>
      <c r="G14" s="214" t="str">
        <f>IFERROR(VLOOKUP($B14,Record!$B$8:'Record'!$Y$100,13,0),"")</f>
        <v/>
      </c>
      <c r="H14" s="172" t="str">
        <f>IFERROR(VLOOKUP($B14,Record!$B$8:'Record'!$Y$100,11,0),"")</f>
        <v/>
      </c>
      <c r="I14" s="15"/>
      <c r="J14" s="60" t="s">
        <v>62</v>
      </c>
      <c r="K14" s="11"/>
      <c r="L14" s="11"/>
      <c r="M14" s="166">
        <f>COUNTIF(Farm!$V$5:'Farm'!$V$100,$J14)</f>
        <v>5</v>
      </c>
      <c r="N14" s="199">
        <f>COUNTIFS(Farm!$V$5:'Farm'!$V$100,$J14,Farm!$W$5:'Farm'!$W$100,$N$11)</f>
        <v>3</v>
      </c>
      <c r="O14" s="200">
        <f>COUNTIFS(Farm!$V$5:'Farm'!$V$100,$J14,Farm!$W$5:'Farm'!$W$100,$O$11)</f>
        <v>2</v>
      </c>
      <c r="P14" s="200">
        <f>COUNTIFS(Farm!$V$5:'Farm'!$V$100,$J14,Farm!$W$5:'Farm'!$W$100,$P$11)</f>
        <v>0</v>
      </c>
      <c r="Q14" s="10"/>
      <c r="R14" s="10"/>
      <c r="S14" s="118">
        <v>10</v>
      </c>
      <c r="T14" s="167" t="s">
        <v>23</v>
      </c>
      <c r="U14" s="118" t="str">
        <f>V14&amp;": "&amp;COUNTIF(V$5:V14,V14)</f>
        <v>Sai Su Nee goat Farm: 3</v>
      </c>
      <c r="V14" s="118" t="s">
        <v>105</v>
      </c>
      <c r="W14" s="9" t="str">
        <f>Record!L17</f>
        <v>Dead</v>
      </c>
      <c r="X14" s="118">
        <v>10</v>
      </c>
      <c r="Y14" s="167" t="s">
        <v>23</v>
      </c>
      <c r="AD14"/>
    </row>
    <row r="15" spans="1:30" x14ac:dyDescent="0.35">
      <c r="A15" s="15">
        <v>9</v>
      </c>
      <c r="B15" s="208" t="str">
        <f>IFERROR(VLOOKUP($J$5&amp;": "&amp;$A15,Farm!$U$5:'Farm'!Y108,4,0),"")</f>
        <v/>
      </c>
      <c r="C15" s="155" t="str">
        <f>IFERROR(VLOOKUP($B15,Record!$B$8:'Record'!Y108,2,0),"")</f>
        <v/>
      </c>
      <c r="D15" s="8" t="str">
        <f>IFERROR(VLOOKUP($B15,Record!$B$8:'Record'!$Y$100,4,0),"")</f>
        <v/>
      </c>
      <c r="E15" s="155" t="str">
        <f>IFERROR(VLOOKUP($B15,Record!$B$8:'Record'!$Y$100,3,0),"")</f>
        <v/>
      </c>
      <c r="F15" s="158" t="str">
        <f>IFERROR(VLOOKUP($B15,Record!$B$8:'Record'!$Y$100,12,0),"")</f>
        <v/>
      </c>
      <c r="G15" s="214" t="str">
        <f>IFERROR(VLOOKUP($B15,Record!$B$8:'Record'!$Y$100,13,0),"")</f>
        <v/>
      </c>
      <c r="H15" s="172" t="str">
        <f>IFERROR(VLOOKUP($B15,Record!$B$8:'Record'!$Y$100,11,0),"")</f>
        <v/>
      </c>
      <c r="I15" s="15"/>
      <c r="J15" s="60" t="s">
        <v>112</v>
      </c>
      <c r="K15" s="11"/>
      <c r="L15" s="11"/>
      <c r="M15" s="166">
        <f>COUNTIF(Farm!$V$5:'Farm'!$V$100,$J15)</f>
        <v>2</v>
      </c>
      <c r="N15" s="199">
        <f>COUNTIFS(Farm!$V$5:'Farm'!$V$100,$J15,Farm!$W$5:'Farm'!$W$100,$N$11)</f>
        <v>0</v>
      </c>
      <c r="O15" s="200">
        <f>COUNTIFS(Farm!$V$5:'Farm'!$V$100,$J15,Farm!$W$5:'Farm'!$W$100,$O$11)</f>
        <v>2</v>
      </c>
      <c r="P15" s="200">
        <f>COUNTIFS(Farm!$V$5:'Farm'!$V$100,$J15,Farm!$W$5:'Farm'!$W$100,$P$11)</f>
        <v>0</v>
      </c>
      <c r="Q15" s="10"/>
      <c r="R15" s="10"/>
      <c r="S15" s="118">
        <v>11</v>
      </c>
      <c r="T15" s="167" t="s">
        <v>26</v>
      </c>
      <c r="U15" s="118" t="str">
        <f>V15&amp;": "&amp;COUNTIF(V$5:V15,V15)</f>
        <v>Khu Mueng: 4</v>
      </c>
      <c r="V15" s="118" t="s">
        <v>131</v>
      </c>
      <c r="W15" s="9" t="str">
        <f>Record!L18</f>
        <v>Dead</v>
      </c>
      <c r="X15" s="118">
        <v>11</v>
      </c>
      <c r="Y15" s="167" t="s">
        <v>26</v>
      </c>
      <c r="AD15"/>
    </row>
    <row r="16" spans="1:30" x14ac:dyDescent="0.35">
      <c r="A16" s="15">
        <v>10</v>
      </c>
      <c r="B16" s="208" t="str">
        <f>IFERROR(VLOOKUP($J$5&amp;": "&amp;$A16,Farm!$U$5:'Farm'!Y109,4,0),"")</f>
        <v/>
      </c>
      <c r="C16" s="155" t="str">
        <f>IFERROR(VLOOKUP($B16,Record!$B$8:'Record'!Y109,2,0),"")</f>
        <v/>
      </c>
      <c r="D16" s="8" t="str">
        <f>IFERROR(VLOOKUP($B16,Record!$B$8:'Record'!$Y$100,4,0),"")</f>
        <v/>
      </c>
      <c r="E16" s="155" t="str">
        <f>IFERROR(VLOOKUP($B16,Record!$B$8:'Record'!$Y$100,3,0),"")</f>
        <v/>
      </c>
      <c r="F16" s="158" t="str">
        <f>IFERROR(VLOOKUP($B16,Record!$B$8:'Record'!$Y$100,12,0),"")</f>
        <v/>
      </c>
      <c r="G16" s="214" t="str">
        <f>IFERROR(VLOOKUP($B16,Record!$B$8:'Record'!$Y$100,13,0),"")</f>
        <v/>
      </c>
      <c r="H16" s="172" t="str">
        <f>IFERROR(VLOOKUP($B16,Record!$B$8:'Record'!$Y$100,11,0),"")</f>
        <v/>
      </c>
      <c r="I16" s="15"/>
      <c r="J16" s="60" t="s">
        <v>131</v>
      </c>
      <c r="K16" s="11"/>
      <c r="L16" s="11"/>
      <c r="M16" s="166">
        <f>COUNTIF(Farm!$V$5:'Farm'!$V$100,$J16)</f>
        <v>6</v>
      </c>
      <c r="N16" s="199">
        <f>COUNTIFS(Farm!$V$5:'Farm'!$V$100,$J16,Farm!$W$5:'Farm'!$W$100,$N$11)</f>
        <v>2</v>
      </c>
      <c r="O16" s="200">
        <f>COUNTIFS(Farm!$V$5:'Farm'!$V$100,$J16,Farm!$W$5:'Farm'!$W$100,$O$11)</f>
        <v>3</v>
      </c>
      <c r="P16" s="200">
        <f>COUNTIFS(Farm!$V$5:'Farm'!$V$100,$J16,Farm!$W$5:'Farm'!$W$100,$P$11)</f>
        <v>1</v>
      </c>
      <c r="Q16" s="10"/>
      <c r="R16" s="10"/>
      <c r="S16" s="118">
        <v>12</v>
      </c>
      <c r="T16" s="167" t="s">
        <v>24</v>
      </c>
      <c r="U16" s="118" t="str">
        <f>V16&amp;": "&amp;COUNTIF(V$5:V16,V16)</f>
        <v>Khu Mueng: 5</v>
      </c>
      <c r="V16" s="118" t="s">
        <v>131</v>
      </c>
      <c r="W16" s="9" t="str">
        <f>Record!L19</f>
        <v>Alive</v>
      </c>
      <c r="X16" s="118">
        <v>12</v>
      </c>
      <c r="Y16" s="167" t="s">
        <v>24</v>
      </c>
      <c r="AD16"/>
    </row>
    <row r="17" spans="1:30" x14ac:dyDescent="0.35">
      <c r="A17" s="15">
        <v>11</v>
      </c>
      <c r="B17" s="208" t="str">
        <f>IFERROR(VLOOKUP($J$5&amp;": "&amp;$A17,Farm!$U$5:'Farm'!Y110,4,0),"")</f>
        <v/>
      </c>
      <c r="C17" s="155" t="str">
        <f>IFERROR(VLOOKUP($B17,Record!$B$8:'Record'!Y110,2,0),"")</f>
        <v/>
      </c>
      <c r="D17" s="8" t="str">
        <f>IFERROR(VLOOKUP($B17,Record!$B$8:'Record'!$Y$100,4,0),"")</f>
        <v/>
      </c>
      <c r="E17" s="155" t="str">
        <f>IFERROR(VLOOKUP($B17,Record!$B$8:'Record'!$Y$100,3,0),"")</f>
        <v/>
      </c>
      <c r="F17" s="158" t="str">
        <f>IFERROR(VLOOKUP($B17,Record!$B$8:'Record'!$Y$100,12,0),"")</f>
        <v/>
      </c>
      <c r="G17" s="214" t="str">
        <f>IFERROR(VLOOKUP($B17,Record!$B$8:'Record'!$Y$100,13,0),"")</f>
        <v/>
      </c>
      <c r="H17" s="172" t="str">
        <f>IFERROR(VLOOKUP($B17,Record!$B$8:'Record'!$Y$100,11,0),"")</f>
        <v/>
      </c>
      <c r="I17" s="15"/>
      <c r="J17" s="60" t="s">
        <v>105</v>
      </c>
      <c r="K17" s="11"/>
      <c r="L17" s="11"/>
      <c r="M17" s="166">
        <f>COUNTIF(Farm!$V$5:'Farm'!$V$100,$J17)</f>
        <v>57</v>
      </c>
      <c r="N17" s="199">
        <f>COUNTIFS(Farm!$V$5:'Farm'!$V$100,$J17,Farm!$W$5:'Farm'!$W$100,$N$11)</f>
        <v>32</v>
      </c>
      <c r="O17" s="200">
        <f>COUNTIFS(Farm!$V$5:'Farm'!$V$100,$J17,Farm!$W$5:'Farm'!$W$100,$O$11)</f>
        <v>19</v>
      </c>
      <c r="P17" s="200">
        <f>COUNTIFS(Farm!$V$5:'Farm'!$V$100,$J17,Farm!$W$5:'Farm'!$W$100,$P$11)</f>
        <v>6</v>
      </c>
      <c r="Q17" s="10"/>
      <c r="R17" s="10"/>
      <c r="S17" s="118">
        <v>13</v>
      </c>
      <c r="T17" s="167" t="s">
        <v>25</v>
      </c>
      <c r="U17" s="118" t="str">
        <f>V17&amp;": "&amp;COUNTIF(V$5:V17,V17)</f>
        <v>Khu Mueng: 6</v>
      </c>
      <c r="V17" s="118" t="s">
        <v>131</v>
      </c>
      <c r="W17" s="9" t="str">
        <f>Record!L20</f>
        <v>Dead</v>
      </c>
      <c r="X17" s="118">
        <v>13</v>
      </c>
      <c r="Y17" s="167" t="s">
        <v>25</v>
      </c>
      <c r="AD17"/>
    </row>
    <row r="18" spans="1:30" ht="16" thickBot="1" x14ac:dyDescent="0.4">
      <c r="A18" s="15">
        <v>12</v>
      </c>
      <c r="B18" s="208" t="str">
        <f>IFERROR(VLOOKUP($J$5&amp;": "&amp;$A18,Farm!$U$5:'Farm'!Y111,4,0),"")</f>
        <v/>
      </c>
      <c r="C18" s="155" t="str">
        <f>IFERROR(VLOOKUP($B18,Record!$B$8:'Record'!Y111,2,0),"")</f>
        <v/>
      </c>
      <c r="D18" s="8" t="str">
        <f>IFERROR(VLOOKUP($B18,Record!$B$8:'Record'!$Y$100,4,0),"")</f>
        <v/>
      </c>
      <c r="E18" s="155" t="str">
        <f>IFERROR(VLOOKUP($B18,Record!$B$8:'Record'!$Y$100,3,0),"")</f>
        <v/>
      </c>
      <c r="F18" s="158" t="str">
        <f>IFERROR(VLOOKUP($B18,Record!$B$8:'Record'!$Y$100,12,0),"")</f>
        <v/>
      </c>
      <c r="G18" s="214" t="str">
        <f>IFERROR(VLOOKUP($B18,Record!$B$8:'Record'!$Y$100,13,0),"")</f>
        <v/>
      </c>
      <c r="H18" s="172" t="str">
        <f>IFERROR(VLOOKUP($B18,Record!$B$8:'Record'!$Y$100,11,0),"")</f>
        <v/>
      </c>
      <c r="I18" s="15"/>
      <c r="J18" s="61" t="s">
        <v>12</v>
      </c>
      <c r="K18" s="62"/>
      <c r="L18" s="62"/>
      <c r="M18" s="196">
        <f>COUNTIF(Farm!$V$5:'Farm'!$V$100,$J18)</f>
        <v>1</v>
      </c>
      <c r="N18" s="201">
        <f>COUNTIFS(Farm!$V$5:'Farm'!$V$100,$J18,Farm!$W$5:'Farm'!$W$100,$N$11)</f>
        <v>1</v>
      </c>
      <c r="O18" s="202">
        <f>COUNTIFS(Farm!$V$5:'Farm'!$V$100,$J18,Farm!$W$5:'Farm'!$W$100,$O$11)</f>
        <v>0</v>
      </c>
      <c r="P18" s="202">
        <f>COUNTIFS(Farm!$V$5:'Farm'!$V$100,$J18,Farm!$W$5:'Farm'!$W$100,$P$11)</f>
        <v>0</v>
      </c>
      <c r="Q18" s="10"/>
      <c r="R18" s="10"/>
      <c r="S18" s="118">
        <v>14</v>
      </c>
      <c r="T18" s="167" t="s">
        <v>30</v>
      </c>
      <c r="U18" s="118" t="str">
        <f>V18&amp;": "&amp;COUNTIF(V$5:V18,V18)</f>
        <v>Sai Su Nee goat Farm: 4</v>
      </c>
      <c r="V18" s="118" t="s">
        <v>105</v>
      </c>
      <c r="W18" s="9" t="str">
        <f>Record!L21</f>
        <v>Dead</v>
      </c>
      <c r="X18" s="118">
        <v>14</v>
      </c>
      <c r="Y18" s="167" t="s">
        <v>30</v>
      </c>
      <c r="AD18"/>
    </row>
    <row r="19" spans="1:30" x14ac:dyDescent="0.35">
      <c r="A19" s="15">
        <v>13</v>
      </c>
      <c r="B19" s="208" t="str">
        <f>IFERROR(VLOOKUP($J$5&amp;": "&amp;$A19,Farm!$U$5:'Farm'!Y112,4,0),"")</f>
        <v/>
      </c>
      <c r="C19" s="155" t="str">
        <f>IFERROR(VLOOKUP($B19,Record!$B$8:'Record'!Y112,2,0),"")</f>
        <v/>
      </c>
      <c r="D19" s="8" t="str">
        <f>IFERROR(VLOOKUP($B19,Record!$B$8:'Record'!$Y$100,4,0),"")</f>
        <v/>
      </c>
      <c r="E19" s="155" t="str">
        <f>IFERROR(VLOOKUP($B19,Record!$B$8:'Record'!$Y$100,3,0),"")</f>
        <v/>
      </c>
      <c r="F19" s="158" t="str">
        <f>IFERROR(VLOOKUP($B19,Record!$B$8:'Record'!$Y$100,12,0),"")</f>
        <v/>
      </c>
      <c r="G19" s="214" t="str">
        <f>IFERROR(VLOOKUP($B19,Record!$B$8:'Record'!$Y$100,13,0),"")</f>
        <v/>
      </c>
      <c r="H19" s="172" t="str">
        <f>IFERROR(VLOOKUP($B19,Record!$B$8:'Record'!$Y$100,11,0),"")</f>
        <v/>
      </c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18">
        <v>15</v>
      </c>
      <c r="T19" s="167" t="s">
        <v>28</v>
      </c>
      <c r="U19" s="118" t="str">
        <f>V19&amp;": "&amp;COUNTIF(V$5:V19,V19)</f>
        <v>Sai Su Nee goat Farm: 5</v>
      </c>
      <c r="V19" s="118" t="s">
        <v>105</v>
      </c>
      <c r="W19" s="9" t="str">
        <f>Record!L22</f>
        <v>Dead</v>
      </c>
      <c r="X19" s="118">
        <v>15</v>
      </c>
      <c r="Y19" s="167" t="s">
        <v>28</v>
      </c>
      <c r="AD19"/>
    </row>
    <row r="20" spans="1:30" x14ac:dyDescent="0.35">
      <c r="A20" s="55">
        <v>26</v>
      </c>
      <c r="B20" s="208" t="str">
        <f>IFERROR(VLOOKUP($J$5&amp;": "&amp;$A20,Farm!$U$5:'Farm'!Y113,4,0),"")</f>
        <v/>
      </c>
      <c r="C20" s="155" t="str">
        <f>IFERROR(VLOOKUP($B20,Record!$B$8:'Record'!Y113,2,0),"")</f>
        <v/>
      </c>
      <c r="D20" s="8" t="str">
        <f>IFERROR(VLOOKUP($B20,Record!$B$8:'Record'!$Y$100,4,0),"")</f>
        <v/>
      </c>
      <c r="E20" s="155" t="str">
        <f>IFERROR(VLOOKUP($B20,Record!$B$8:'Record'!$Y$100,3,0),"")</f>
        <v/>
      </c>
      <c r="F20" s="158" t="str">
        <f>IFERROR(VLOOKUP($B20,Record!$B$8:'Record'!$Y$100,12,0),"")</f>
        <v/>
      </c>
      <c r="G20" s="214" t="str">
        <f>IFERROR(VLOOKUP($B20,Record!$B$8:'Record'!$Y$100,13,0),"")</f>
        <v/>
      </c>
      <c r="H20" s="172" t="str">
        <f>IFERROR(VLOOKUP($B20,Record!$B$8:'Record'!$Y$100,11,0),"")</f>
        <v/>
      </c>
      <c r="I20" s="55"/>
      <c r="J20" s="10"/>
      <c r="K20" s="10"/>
      <c r="L20" s="10"/>
      <c r="M20" s="10"/>
      <c r="N20" s="10"/>
      <c r="O20" s="10"/>
      <c r="P20" s="10"/>
      <c r="Q20" s="10"/>
      <c r="R20" s="10"/>
      <c r="S20" s="118">
        <v>16</v>
      </c>
      <c r="T20" s="167" t="s">
        <v>29</v>
      </c>
      <c r="U20" s="118" t="str">
        <f>V20&amp;": "&amp;COUNTIF(V$5:V20,V20)</f>
        <v>Sai Su Nee goat Farm: 6</v>
      </c>
      <c r="V20" s="118" t="s">
        <v>105</v>
      </c>
      <c r="W20" s="9" t="str">
        <f>Record!L23</f>
        <v>Dead</v>
      </c>
      <c r="X20" s="118">
        <v>16</v>
      </c>
      <c r="Y20" s="167" t="s">
        <v>29</v>
      </c>
      <c r="AD20"/>
    </row>
    <row r="21" spans="1:30" x14ac:dyDescent="0.35">
      <c r="A21" s="55">
        <v>27</v>
      </c>
      <c r="B21" s="208" t="str">
        <f>IFERROR(VLOOKUP($J$5&amp;": "&amp;$A21,Farm!$U$5:'Farm'!Y114,4,0),"")</f>
        <v/>
      </c>
      <c r="C21" s="155" t="str">
        <f>IFERROR(VLOOKUP($B21,Record!$B$8:'Record'!Y114,2,0),"")</f>
        <v/>
      </c>
      <c r="D21" s="8" t="str">
        <f>IFERROR(VLOOKUP($B21,Record!$B$8:'Record'!$Y$100,4,0),"")</f>
        <v/>
      </c>
      <c r="E21" s="155" t="str">
        <f>IFERROR(VLOOKUP($B21,Record!$B$8:'Record'!$Y$100,3,0),"")</f>
        <v/>
      </c>
      <c r="F21" s="158" t="str">
        <f>IFERROR(VLOOKUP($B21,Record!$B$8:'Record'!$Y$100,12,0),"")</f>
        <v/>
      </c>
      <c r="G21" s="214" t="str">
        <f>IFERROR(VLOOKUP($B21,Record!$B$8:'Record'!$Y$100,13,0),"")</f>
        <v/>
      </c>
      <c r="H21" s="172" t="str">
        <f>IFERROR(VLOOKUP($B21,Record!$B$8:'Record'!$Y$100,11,0),"")</f>
        <v/>
      </c>
      <c r="I21" s="55"/>
      <c r="J21" s="10"/>
      <c r="K21" s="10"/>
      <c r="L21" s="10"/>
      <c r="M21" s="10"/>
      <c r="N21" s="10"/>
      <c r="O21" s="10"/>
      <c r="P21" s="10"/>
      <c r="Q21" s="10"/>
      <c r="R21" s="10"/>
      <c r="S21" s="118">
        <v>17</v>
      </c>
      <c r="T21" s="167" t="s">
        <v>32</v>
      </c>
      <c r="U21" s="118" t="str">
        <f>V21&amp;": "&amp;COUNTIF(V$5:V21,V21)</f>
        <v>Sai Su Nee goat Farm: 7</v>
      </c>
      <c r="V21" s="118" t="s">
        <v>105</v>
      </c>
      <c r="W21" s="9" t="str">
        <f>Record!L24</f>
        <v>Dead</v>
      </c>
      <c r="X21" s="118">
        <v>17</v>
      </c>
      <c r="Y21" s="167" t="s">
        <v>32</v>
      </c>
      <c r="AD21"/>
    </row>
    <row r="22" spans="1:30" ht="16" thickBot="1" x14ac:dyDescent="0.4">
      <c r="A22" s="55">
        <v>29</v>
      </c>
      <c r="B22" s="209" t="str">
        <f>IFERROR(VLOOKUP($J$5&amp;": "&amp;$A22,Farm!$U$5:'Farm'!Y115,4,0),"")</f>
        <v/>
      </c>
      <c r="C22" s="156" t="str">
        <f>IFERROR(VLOOKUP($B22,Record!$B$8:'Record'!Y115,2,0),"")</f>
        <v/>
      </c>
      <c r="D22" s="16" t="str">
        <f>IFERROR(VLOOKUP($B22,Record!$B$8:'Record'!$Y$100,4,0),"")</f>
        <v/>
      </c>
      <c r="E22" s="156" t="str">
        <f>IFERROR(VLOOKUP($B22,Record!$B$8:'Record'!$Y$100,3,0),"")</f>
        <v/>
      </c>
      <c r="F22" s="159" t="str">
        <f>IFERROR(VLOOKUP($B22,Record!$B$8:'Record'!$Y$100,12,0),"")</f>
        <v/>
      </c>
      <c r="G22" s="215" t="str">
        <f>IFERROR(VLOOKUP($B22,Record!$B$8:'Record'!$Y$100,13,0),"")</f>
        <v/>
      </c>
      <c r="H22" s="173" t="str">
        <f>IFERROR(VLOOKUP($B22,Record!$B$8:'Record'!$Y$100,11,0),"")</f>
        <v/>
      </c>
      <c r="I22" s="55"/>
      <c r="J22" s="10"/>
      <c r="K22" s="10"/>
      <c r="L22" s="10"/>
      <c r="M22" s="10"/>
      <c r="N22" s="10"/>
      <c r="O22" s="10"/>
      <c r="P22" s="10"/>
      <c r="Q22" s="10"/>
      <c r="R22" s="10"/>
      <c r="S22" s="118">
        <v>18</v>
      </c>
      <c r="T22" s="167" t="s">
        <v>33</v>
      </c>
      <c r="U22" s="118" t="str">
        <f>V22&amp;": "&amp;COUNTIF(V$5:V22,V22)</f>
        <v>Sai Su Nee goat Farm: 8</v>
      </c>
      <c r="V22" s="118" t="s">
        <v>105</v>
      </c>
      <c r="W22" s="9" t="str">
        <f>Record!L25</f>
        <v>Dead</v>
      </c>
      <c r="X22" s="118">
        <v>18</v>
      </c>
      <c r="Y22" s="167" t="s">
        <v>33</v>
      </c>
      <c r="AD22"/>
    </row>
    <row r="23" spans="1:30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8">
        <v>19</v>
      </c>
      <c r="T23" s="167" t="s">
        <v>34</v>
      </c>
      <c r="U23" s="118" t="str">
        <f>V23&amp;": "&amp;COUNTIF(V$5:V23,V23)</f>
        <v>Sai Su Nee goat Farm: 9</v>
      </c>
      <c r="V23" s="118" t="s">
        <v>105</v>
      </c>
      <c r="W23" s="9" t="str">
        <f>Record!L26</f>
        <v>Alive</v>
      </c>
      <c r="X23" s="118">
        <v>19</v>
      </c>
      <c r="Y23" s="167" t="s">
        <v>34</v>
      </c>
      <c r="AD23"/>
    </row>
    <row r="24" spans="1:30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8">
        <v>20</v>
      </c>
      <c r="T24" s="167" t="s">
        <v>57</v>
      </c>
      <c r="U24" s="118" t="str">
        <f>V24&amp;": "&amp;COUNTIF(V$5:V24,V24)</f>
        <v>Ban khok Sa Wang: 1</v>
      </c>
      <c r="V24" s="118" t="s">
        <v>62</v>
      </c>
      <c r="W24" s="9" t="str">
        <f>Record!L27</f>
        <v>Alive</v>
      </c>
      <c r="X24" s="118">
        <v>20</v>
      </c>
      <c r="Y24" s="167" t="s">
        <v>57</v>
      </c>
      <c r="AD24"/>
    </row>
    <row r="25" spans="1:30" x14ac:dyDescent="0.35">
      <c r="E25"/>
      <c r="L25"/>
      <c r="S25" s="118">
        <v>21</v>
      </c>
      <c r="T25" s="167" t="s">
        <v>58</v>
      </c>
      <c r="U25" s="118" t="str">
        <f>V25&amp;": "&amp;COUNTIF(V$5:V25,V25)</f>
        <v>Ban khok Sa Wang: 2</v>
      </c>
      <c r="V25" s="118" t="s">
        <v>62</v>
      </c>
      <c r="W25" s="9" t="str">
        <f>Record!L28</f>
        <v>Dead</v>
      </c>
      <c r="X25" s="118">
        <v>21</v>
      </c>
      <c r="Y25" s="167" t="s">
        <v>58</v>
      </c>
      <c r="AD25"/>
    </row>
    <row r="26" spans="1:30" x14ac:dyDescent="0.35">
      <c r="E26"/>
      <c r="L26"/>
      <c r="S26" s="118">
        <v>22</v>
      </c>
      <c r="T26" s="167" t="s">
        <v>61</v>
      </c>
      <c r="U26" s="118" t="str">
        <f>V26&amp;": "&amp;COUNTIF(V$5:V26,V26)</f>
        <v>Ban khok Sa Wang: 3</v>
      </c>
      <c r="V26" s="118" t="s">
        <v>62</v>
      </c>
      <c r="W26" s="9" t="str">
        <f>Record!L29</f>
        <v>Alive</v>
      </c>
      <c r="X26" s="118">
        <v>22</v>
      </c>
      <c r="Y26" s="167" t="s">
        <v>61</v>
      </c>
      <c r="AD26"/>
    </row>
    <row r="27" spans="1:30" x14ac:dyDescent="0.35">
      <c r="E27"/>
      <c r="L27"/>
      <c r="S27" s="118">
        <v>23</v>
      </c>
      <c r="T27" s="118" t="s">
        <v>60</v>
      </c>
      <c r="U27" s="118" t="str">
        <f>V27&amp;": "&amp;COUNTIF(V$5:V27,V27)</f>
        <v>Ban khok Sa Wang: 4</v>
      </c>
      <c r="V27" s="118" t="s">
        <v>62</v>
      </c>
      <c r="W27" s="9" t="str">
        <f>Record!L30</f>
        <v>Alive</v>
      </c>
      <c r="X27" s="118">
        <v>23</v>
      </c>
      <c r="Y27" s="118" t="s">
        <v>60</v>
      </c>
      <c r="AD27"/>
    </row>
    <row r="28" spans="1:30" x14ac:dyDescent="0.35">
      <c r="E28"/>
      <c r="L28"/>
      <c r="S28" s="118">
        <v>24</v>
      </c>
      <c r="T28" s="167" t="s">
        <v>59</v>
      </c>
      <c r="U28" s="118" t="str">
        <f>V28&amp;": "&amp;COUNTIF(V$5:V28,V28)</f>
        <v>Ban khok Sa Wang: 5</v>
      </c>
      <c r="V28" s="118" t="s">
        <v>62</v>
      </c>
      <c r="W28" s="9" t="str">
        <f>Record!L31</f>
        <v>Dead</v>
      </c>
      <c r="X28" s="118">
        <v>24</v>
      </c>
      <c r="Y28" s="167" t="s">
        <v>59</v>
      </c>
      <c r="AD28"/>
    </row>
    <row r="29" spans="1:30" x14ac:dyDescent="0.35">
      <c r="E29"/>
      <c r="L29"/>
      <c r="S29" s="118">
        <v>25</v>
      </c>
      <c r="T29" s="167" t="s">
        <v>71</v>
      </c>
      <c r="U29" s="118" t="str">
        <f>V29&amp;": "&amp;COUNTIF(V$5:V29,V29)</f>
        <v>Sai Su Nee goat Farm: 10</v>
      </c>
      <c r="V29" s="118" t="s">
        <v>105</v>
      </c>
      <c r="W29" s="9" t="str">
        <f>Record!L32</f>
        <v>Dead</v>
      </c>
      <c r="X29" s="118">
        <v>25</v>
      </c>
      <c r="Y29" s="167" t="s">
        <v>71</v>
      </c>
      <c r="AD29"/>
    </row>
    <row r="30" spans="1:30" x14ac:dyDescent="0.35">
      <c r="E30"/>
      <c r="L30"/>
      <c r="S30" s="118">
        <v>26</v>
      </c>
      <c r="T30" s="167" t="s">
        <v>83</v>
      </c>
      <c r="U30" s="118" t="str">
        <f>V30&amp;": "&amp;COUNTIF(V$5:V30,V30)</f>
        <v>Sai Su Nee goat Farm: 11</v>
      </c>
      <c r="V30" s="118" t="s">
        <v>105</v>
      </c>
      <c r="W30" s="9" t="str">
        <f>Record!L33</f>
        <v>Dead</v>
      </c>
      <c r="X30" s="118">
        <v>26</v>
      </c>
      <c r="Y30" s="167" t="s">
        <v>83</v>
      </c>
      <c r="AD30"/>
    </row>
    <row r="31" spans="1:30" x14ac:dyDescent="0.35">
      <c r="E31"/>
      <c r="L31"/>
      <c r="S31" s="118">
        <v>27</v>
      </c>
      <c r="T31" s="167" t="s">
        <v>84</v>
      </c>
      <c r="U31" s="118" t="str">
        <f>V31&amp;": "&amp;COUNTIF(V$5:V31,V31)</f>
        <v>Sai Su Nee goat Farm: 12</v>
      </c>
      <c r="V31" s="118" t="s">
        <v>105</v>
      </c>
      <c r="W31" s="9" t="str">
        <f>Record!L34</f>
        <v>Alive</v>
      </c>
      <c r="X31" s="118">
        <v>27</v>
      </c>
      <c r="Y31" s="167" t="s">
        <v>84</v>
      </c>
      <c r="AD31"/>
    </row>
    <row r="32" spans="1:30" x14ac:dyDescent="0.35">
      <c r="E32"/>
      <c r="L32"/>
      <c r="S32" s="168">
        <v>28</v>
      </c>
      <c r="T32" s="169" t="s">
        <v>102</v>
      </c>
      <c r="U32" s="118" t="str">
        <f>V32&amp;": "&amp;COUNTIF(V$5:V32,V32)</f>
        <v>Sai Su Nee goat Farm: 13</v>
      </c>
      <c r="V32" s="168" t="s">
        <v>105</v>
      </c>
      <c r="W32" s="9" t="str">
        <f>Record!L35</f>
        <v>Dead</v>
      </c>
      <c r="X32" s="168">
        <v>28</v>
      </c>
      <c r="Y32" s="169" t="s">
        <v>102</v>
      </c>
      <c r="AD32"/>
    </row>
    <row r="33" spans="5:30" x14ac:dyDescent="0.35">
      <c r="E33"/>
      <c r="L33"/>
      <c r="S33" s="118">
        <v>29</v>
      </c>
      <c r="T33" s="167" t="s">
        <v>104</v>
      </c>
      <c r="U33" s="118" t="str">
        <f>V33&amp;": "&amp;COUNTIF(V$5:V33,V33)</f>
        <v>Sai Su Nee goat Farm: 14</v>
      </c>
      <c r="V33" s="118" t="s">
        <v>105</v>
      </c>
      <c r="W33" s="9" t="str">
        <f>Record!L36</f>
        <v>Dead</v>
      </c>
      <c r="X33" s="118">
        <v>29</v>
      </c>
      <c r="Y33" s="167" t="s">
        <v>104</v>
      </c>
      <c r="AD33"/>
    </row>
    <row r="34" spans="5:30" x14ac:dyDescent="0.35">
      <c r="E34"/>
      <c r="L34"/>
      <c r="S34" s="118">
        <v>30</v>
      </c>
      <c r="T34" s="167" t="s">
        <v>106</v>
      </c>
      <c r="U34" s="118" t="str">
        <f>V34&amp;": "&amp;COUNTIF(V$5:V34,V34)</f>
        <v>Sai Su Nee goat Farm: 15</v>
      </c>
      <c r="V34" s="118" t="s">
        <v>105</v>
      </c>
      <c r="W34" s="9" t="str">
        <f>Record!L37</f>
        <v>Sold</v>
      </c>
      <c r="X34" s="118">
        <v>30</v>
      </c>
      <c r="Y34" s="167" t="s">
        <v>106</v>
      </c>
      <c r="AD34"/>
    </row>
    <row r="35" spans="5:30" x14ac:dyDescent="0.35">
      <c r="E35"/>
      <c r="L35"/>
      <c r="S35" s="118">
        <v>31</v>
      </c>
      <c r="T35" s="167" t="s">
        <v>107</v>
      </c>
      <c r="U35" s="118" t="str">
        <f>V35&amp;": "&amp;COUNTIF(V$5:V35,V35)</f>
        <v>Sai Su Nee goat Farm: 16</v>
      </c>
      <c r="V35" s="118" t="s">
        <v>105</v>
      </c>
      <c r="W35" s="9" t="str">
        <f>Record!L38</f>
        <v>Dead</v>
      </c>
      <c r="X35" s="118">
        <v>31</v>
      </c>
      <c r="Y35" s="167" t="s">
        <v>107</v>
      </c>
      <c r="AD35"/>
    </row>
    <row r="36" spans="5:30" x14ac:dyDescent="0.35">
      <c r="E36"/>
      <c r="L36"/>
      <c r="S36" s="118">
        <v>32</v>
      </c>
      <c r="T36" s="167" t="s">
        <v>108</v>
      </c>
      <c r="U36" s="118" t="str">
        <f>V36&amp;": "&amp;COUNTIF(V$5:V36,V36)</f>
        <v>Sai Su Nee goat Farm: 17</v>
      </c>
      <c r="V36" s="118" t="s">
        <v>105</v>
      </c>
      <c r="W36" s="9" t="str">
        <f>Record!L39</f>
        <v>Sold</v>
      </c>
      <c r="X36" s="118">
        <v>32</v>
      </c>
      <c r="Y36" s="167" t="s">
        <v>108</v>
      </c>
      <c r="AD36"/>
    </row>
    <row r="37" spans="5:30" x14ac:dyDescent="0.35">
      <c r="E37"/>
      <c r="L37"/>
      <c r="S37" s="118">
        <v>33</v>
      </c>
      <c r="T37" s="167" t="s">
        <v>109</v>
      </c>
      <c r="U37" s="118" t="str">
        <f>V37&amp;": "&amp;COUNTIF(V$5:V37,V37)</f>
        <v>Sai Su Nee goat Farm: 18</v>
      </c>
      <c r="V37" s="118" t="s">
        <v>105</v>
      </c>
      <c r="W37" s="9" t="str">
        <f>Record!L40</f>
        <v>Dead</v>
      </c>
      <c r="X37" s="118">
        <v>33</v>
      </c>
      <c r="Y37" s="167" t="s">
        <v>109</v>
      </c>
      <c r="AD37"/>
    </row>
    <row r="38" spans="5:30" x14ac:dyDescent="0.35">
      <c r="E38"/>
      <c r="L38"/>
      <c r="S38" s="118">
        <v>34</v>
      </c>
      <c r="T38" s="167" t="s">
        <v>118</v>
      </c>
      <c r="U38" s="118" t="str">
        <f>V38&amp;": "&amp;COUNTIF(V$5:V38,V38)</f>
        <v>Sai Su Nee goat Farm: 19</v>
      </c>
      <c r="V38" s="118" t="s">
        <v>105</v>
      </c>
      <c r="W38" s="9" t="str">
        <f>Record!L41</f>
        <v>Alive</v>
      </c>
      <c r="X38" s="118">
        <v>34</v>
      </c>
      <c r="Y38" s="167" t="s">
        <v>118</v>
      </c>
      <c r="AD38"/>
    </row>
    <row r="39" spans="5:30" x14ac:dyDescent="0.35">
      <c r="E39"/>
      <c r="L39"/>
      <c r="S39" s="118">
        <v>35</v>
      </c>
      <c r="T39" s="118" t="s">
        <v>111</v>
      </c>
      <c r="U39" s="118" t="str">
        <f>V39&amp;": "&amp;COUNTIF(V$5:V39,V39)</f>
        <v>Ban Sawaijeek: 1</v>
      </c>
      <c r="V39" s="118" t="s">
        <v>112</v>
      </c>
      <c r="W39" s="9" t="str">
        <f>Record!L42</f>
        <v>Dead</v>
      </c>
      <c r="X39" s="118">
        <v>35</v>
      </c>
      <c r="Y39" s="118" t="s">
        <v>111</v>
      </c>
      <c r="AD39"/>
    </row>
    <row r="40" spans="5:30" x14ac:dyDescent="0.35">
      <c r="E40"/>
      <c r="L40"/>
      <c r="S40" s="118">
        <v>36</v>
      </c>
      <c r="T40" s="167" t="s">
        <v>110</v>
      </c>
      <c r="U40" s="118" t="str">
        <f>V40&amp;": "&amp;COUNTIF(V$5:V40,V40)</f>
        <v>Ban Sawaijeek: 2</v>
      </c>
      <c r="V40" s="118" t="s">
        <v>112</v>
      </c>
      <c r="W40" s="9" t="str">
        <f>Record!L43</f>
        <v>Dead</v>
      </c>
      <c r="X40" s="118">
        <v>36</v>
      </c>
      <c r="Y40" s="167" t="s">
        <v>110</v>
      </c>
      <c r="AD40"/>
    </row>
    <row r="41" spans="5:30" x14ac:dyDescent="0.35">
      <c r="E41"/>
      <c r="L41"/>
      <c r="S41" s="118">
        <v>37</v>
      </c>
      <c r="T41" s="167" t="s">
        <v>115</v>
      </c>
      <c r="U41" s="118" t="str">
        <f>V41&amp;": "&amp;COUNTIF(V$5:V41,V41)</f>
        <v>Sai Su Nee goat Farm: 20</v>
      </c>
      <c r="V41" s="118" t="s">
        <v>105</v>
      </c>
      <c r="W41" s="9" t="str">
        <f>Record!L44</f>
        <v>Alive</v>
      </c>
      <c r="X41" s="118">
        <v>37</v>
      </c>
      <c r="Y41" s="167" t="s">
        <v>115</v>
      </c>
      <c r="AD41"/>
    </row>
    <row r="42" spans="5:30" x14ac:dyDescent="0.35">
      <c r="E42"/>
      <c r="L42"/>
      <c r="S42" s="118">
        <v>38</v>
      </c>
      <c r="T42" s="167" t="s">
        <v>117</v>
      </c>
      <c r="U42" s="118" t="str">
        <f>V42&amp;": "&amp;COUNTIF(V$5:V42,V42)</f>
        <v>Sai Su Nee goat Farm: 21</v>
      </c>
      <c r="V42" s="118" t="s">
        <v>105</v>
      </c>
      <c r="W42" s="9" t="str">
        <f>Record!L45</f>
        <v>Dead</v>
      </c>
      <c r="X42" s="118">
        <v>38</v>
      </c>
      <c r="Y42" s="167" t="s">
        <v>117</v>
      </c>
      <c r="AD42"/>
    </row>
    <row r="43" spans="5:30" x14ac:dyDescent="0.35">
      <c r="E43"/>
      <c r="L43"/>
      <c r="S43" s="118">
        <v>39</v>
      </c>
      <c r="T43" s="167" t="s">
        <v>119</v>
      </c>
      <c r="U43" s="118" t="str">
        <f>V43&amp;": "&amp;COUNTIF(V$5:V43,V43)</f>
        <v>Sai Su Nee goat Farm: 22</v>
      </c>
      <c r="V43" s="118" t="s">
        <v>105</v>
      </c>
      <c r="W43" s="9" t="str">
        <f>Record!L46</f>
        <v>Dead</v>
      </c>
      <c r="X43" s="118">
        <v>39</v>
      </c>
      <c r="Y43" s="167" t="s">
        <v>119</v>
      </c>
      <c r="AD43"/>
    </row>
    <row r="44" spans="5:30" x14ac:dyDescent="0.35">
      <c r="E44"/>
      <c r="L44"/>
      <c r="S44" s="118">
        <v>40</v>
      </c>
      <c r="T44" s="167" t="s">
        <v>120</v>
      </c>
      <c r="U44" s="118" t="str">
        <f>V44&amp;": "&amp;COUNTIF(V$5:V44,V44)</f>
        <v>Sai Su Nee goat Farm: 23</v>
      </c>
      <c r="V44" s="118" t="s">
        <v>105</v>
      </c>
      <c r="W44" s="9" t="str">
        <f>Record!L47</f>
        <v>Sold</v>
      </c>
      <c r="X44" s="118">
        <v>40</v>
      </c>
      <c r="Y44" s="167" t="s">
        <v>120</v>
      </c>
      <c r="AD44"/>
    </row>
    <row r="45" spans="5:30" x14ac:dyDescent="0.35">
      <c r="L45"/>
      <c r="S45" s="118">
        <v>41</v>
      </c>
      <c r="T45" s="167" t="s">
        <v>121</v>
      </c>
      <c r="U45" s="118" t="str">
        <f>V45&amp;": "&amp;COUNTIF(V$5:V45,V45)</f>
        <v>Sai Su Nee goat Farm: 24</v>
      </c>
      <c r="V45" s="118" t="s">
        <v>105</v>
      </c>
      <c r="W45" s="9" t="str">
        <f>Record!L48</f>
        <v>Dead</v>
      </c>
      <c r="X45" s="118">
        <v>41</v>
      </c>
      <c r="Y45" s="167" t="s">
        <v>121</v>
      </c>
      <c r="AD45"/>
    </row>
    <row r="46" spans="5:30" x14ac:dyDescent="0.35">
      <c r="L46"/>
      <c r="S46" s="118">
        <v>42</v>
      </c>
      <c r="T46" s="167" t="s">
        <v>122</v>
      </c>
      <c r="U46" s="118" t="str">
        <f>V46&amp;": "&amp;COUNTIF(V$5:V46,V46)</f>
        <v>Sai Su Nee goat Farm: 25</v>
      </c>
      <c r="V46" s="118" t="s">
        <v>105</v>
      </c>
      <c r="W46" s="9" t="str">
        <f>Record!L49</f>
        <v>Alive</v>
      </c>
      <c r="X46" s="118">
        <v>42</v>
      </c>
      <c r="Y46" s="167" t="s">
        <v>122</v>
      </c>
      <c r="AD46"/>
    </row>
    <row r="47" spans="5:30" x14ac:dyDescent="0.35">
      <c r="L47"/>
      <c r="S47" s="168">
        <v>43</v>
      </c>
      <c r="T47" s="169" t="s">
        <v>123</v>
      </c>
      <c r="U47" s="118" t="str">
        <f>V47&amp;": "&amp;COUNTIF(V$5:V47,V47)</f>
        <v>Sai Su Nee goat Farm: 26</v>
      </c>
      <c r="V47" s="168" t="s">
        <v>105</v>
      </c>
      <c r="W47" s="9" t="str">
        <f>Record!L50</f>
        <v>Dead</v>
      </c>
      <c r="X47" s="168">
        <v>43</v>
      </c>
      <c r="Y47" s="169" t="s">
        <v>123</v>
      </c>
      <c r="AD47"/>
    </row>
    <row r="48" spans="5:30" x14ac:dyDescent="0.35">
      <c r="L48"/>
      <c r="S48" s="118">
        <v>44</v>
      </c>
      <c r="T48" s="167" t="s">
        <v>126</v>
      </c>
      <c r="U48" s="118" t="str">
        <f>V48&amp;": "&amp;COUNTIF(V$5:V48,V48)</f>
        <v>Sai Su Nee goat Farm: 27</v>
      </c>
      <c r="V48" s="118" t="s">
        <v>105</v>
      </c>
      <c r="W48" s="9" t="str">
        <f>Record!L51</f>
        <v>Alive</v>
      </c>
      <c r="X48" s="118">
        <v>44</v>
      </c>
      <c r="Y48" s="167" t="s">
        <v>126</v>
      </c>
      <c r="AD48"/>
    </row>
    <row r="49" spans="12:30" x14ac:dyDescent="0.35">
      <c r="L49"/>
      <c r="S49" s="118">
        <v>45</v>
      </c>
      <c r="T49" s="167" t="s">
        <v>124</v>
      </c>
      <c r="U49" s="118" t="str">
        <f>V49&amp;": "&amp;COUNTIF(V$5:V49,V49)</f>
        <v>Sai Su Nee goat Farm: 28</v>
      </c>
      <c r="V49" s="118" t="s">
        <v>105</v>
      </c>
      <c r="W49" s="9" t="str">
        <f>Record!L52</f>
        <v>Sold</v>
      </c>
      <c r="X49" s="118">
        <v>45</v>
      </c>
      <c r="Y49" s="167" t="s">
        <v>124</v>
      </c>
      <c r="AD49"/>
    </row>
    <row r="50" spans="12:30" x14ac:dyDescent="0.35">
      <c r="L50"/>
      <c r="S50" s="118">
        <v>46</v>
      </c>
      <c r="T50" s="167" t="s">
        <v>125</v>
      </c>
      <c r="U50" s="118" t="str">
        <f>V50&amp;": "&amp;COUNTIF(V$5:V50,V50)</f>
        <v>Sai Su Nee goat Farm: 29</v>
      </c>
      <c r="V50" s="118" t="s">
        <v>105</v>
      </c>
      <c r="W50" s="9" t="str">
        <f>Record!L53</f>
        <v>Sold</v>
      </c>
      <c r="X50" s="118">
        <v>46</v>
      </c>
      <c r="Y50" s="167" t="s">
        <v>125</v>
      </c>
      <c r="AD50"/>
    </row>
    <row r="51" spans="12:30" x14ac:dyDescent="0.35">
      <c r="L51"/>
      <c r="S51" s="118">
        <v>47</v>
      </c>
      <c r="T51" s="167" t="s">
        <v>127</v>
      </c>
      <c r="U51" s="118" t="str">
        <f>V51&amp;": "&amp;COUNTIF(V$5:V51,V51)</f>
        <v>Sai Su Nee goat Farm: 30</v>
      </c>
      <c r="V51" s="118" t="s">
        <v>105</v>
      </c>
      <c r="W51" s="9" t="str">
        <f>Record!L54</f>
        <v>Alive</v>
      </c>
      <c r="X51" s="118">
        <v>47</v>
      </c>
      <c r="Y51" s="167" t="s">
        <v>127</v>
      </c>
      <c r="AD51"/>
    </row>
    <row r="52" spans="12:30" x14ac:dyDescent="0.35">
      <c r="L52"/>
      <c r="S52" s="118">
        <v>48</v>
      </c>
      <c r="T52" s="167" t="s">
        <v>128</v>
      </c>
      <c r="U52" s="118" t="str">
        <f>V52&amp;": "&amp;COUNTIF(V$5:V52,V52)</f>
        <v>Sai Su Nee goat Farm: 31</v>
      </c>
      <c r="V52" s="118" t="s">
        <v>105</v>
      </c>
      <c r="W52" s="9" t="str">
        <f>Record!L55</f>
        <v>Sold</v>
      </c>
      <c r="X52" s="118">
        <v>48</v>
      </c>
      <c r="Y52" s="167" t="s">
        <v>128</v>
      </c>
      <c r="AD52"/>
    </row>
    <row r="53" spans="12:30" x14ac:dyDescent="0.35">
      <c r="L53"/>
      <c r="S53" s="118">
        <v>49</v>
      </c>
      <c r="T53" s="167" t="s">
        <v>129</v>
      </c>
      <c r="U53" s="118" t="str">
        <f>V53&amp;": "&amp;COUNTIF(V$5:V53,V53)</f>
        <v>Sai Su Nee goat Farm: 32</v>
      </c>
      <c r="V53" s="118" t="s">
        <v>105</v>
      </c>
      <c r="W53" s="9" t="str">
        <f>Record!L56</f>
        <v>Alive</v>
      </c>
      <c r="X53" s="118">
        <v>49</v>
      </c>
      <c r="Y53" s="167" t="s">
        <v>129</v>
      </c>
      <c r="AD53"/>
    </row>
    <row r="54" spans="12:30" x14ac:dyDescent="0.35">
      <c r="L54"/>
      <c r="S54" s="118">
        <v>50</v>
      </c>
      <c r="T54" s="167" t="s">
        <v>130</v>
      </c>
      <c r="U54" s="118" t="str">
        <f>V54&amp;": "&amp;COUNTIF(V$5:V54,V54)</f>
        <v>Sai Su Nee goat Farm: 33</v>
      </c>
      <c r="V54" s="118" t="s">
        <v>105</v>
      </c>
      <c r="W54" s="9" t="str">
        <f>Record!L57</f>
        <v>Alive</v>
      </c>
      <c r="X54" s="118">
        <v>50</v>
      </c>
      <c r="Y54" s="167" t="s">
        <v>130</v>
      </c>
      <c r="AD54"/>
    </row>
    <row r="55" spans="12:30" x14ac:dyDescent="0.35">
      <c r="S55" s="118">
        <v>51</v>
      </c>
      <c r="T55" s="167" t="s">
        <v>150</v>
      </c>
      <c r="U55" s="118" t="str">
        <f>V55&amp;": "&amp;COUNTIF(V$5:V55,V55)</f>
        <v>Sai Su Nee goat Farm: 34</v>
      </c>
      <c r="V55" s="118" t="s">
        <v>105</v>
      </c>
      <c r="W55" s="9" t="str">
        <f>Record!L58</f>
        <v>Alive</v>
      </c>
      <c r="X55" s="118">
        <v>51</v>
      </c>
      <c r="Y55" s="167" t="s">
        <v>150</v>
      </c>
      <c r="AD55"/>
    </row>
    <row r="56" spans="12:30" x14ac:dyDescent="0.35">
      <c r="S56" s="118">
        <v>52</v>
      </c>
      <c r="T56" s="167" t="s">
        <v>134</v>
      </c>
      <c r="U56" s="118" t="str">
        <f>V56&amp;": "&amp;COUNTIF(V$5:V56,V56)</f>
        <v>Sai Su Nee goat Farm: 35</v>
      </c>
      <c r="V56" s="118" t="s">
        <v>105</v>
      </c>
      <c r="W56" s="9" t="str">
        <f>Record!L59</f>
        <v>Alive</v>
      </c>
      <c r="X56" s="118">
        <v>52</v>
      </c>
      <c r="Y56" s="167" t="s">
        <v>134</v>
      </c>
      <c r="AD56"/>
    </row>
    <row r="57" spans="12:30" x14ac:dyDescent="0.35">
      <c r="S57" s="118">
        <v>53</v>
      </c>
      <c r="T57" s="167" t="s">
        <v>145</v>
      </c>
      <c r="U57" s="118" t="str">
        <f>V57&amp;": "&amp;COUNTIF(V$5:V57,V57)</f>
        <v>Sai Su Nee goat Farm: 36</v>
      </c>
      <c r="V57" s="118" t="s">
        <v>105</v>
      </c>
      <c r="W57" s="9" t="str">
        <f>Record!L60</f>
        <v>Alive</v>
      </c>
      <c r="X57" s="118">
        <v>53</v>
      </c>
      <c r="Y57" s="167" t="s">
        <v>145</v>
      </c>
    </row>
    <row r="58" spans="12:30" x14ac:dyDescent="0.35">
      <c r="S58" s="118">
        <v>54</v>
      </c>
      <c r="T58" s="167" t="s">
        <v>146</v>
      </c>
      <c r="U58" s="118" t="str">
        <f>V58&amp;": "&amp;COUNTIF(V$5:V58,V58)</f>
        <v>Sai Su Nee goat Farm: 37</v>
      </c>
      <c r="V58" s="118" t="s">
        <v>105</v>
      </c>
      <c r="W58" s="9" t="str">
        <f>Record!L61</f>
        <v>Dead</v>
      </c>
      <c r="X58" s="118">
        <v>54</v>
      </c>
      <c r="Y58" s="167" t="s">
        <v>146</v>
      </c>
    </row>
    <row r="59" spans="12:30" x14ac:dyDescent="0.35">
      <c r="S59" s="118">
        <v>55</v>
      </c>
      <c r="T59" s="167" t="s">
        <v>147</v>
      </c>
      <c r="U59" s="118" t="str">
        <f>V59&amp;": "&amp;COUNTIF(V$5:V59,V59)</f>
        <v>Sai Su Nee goat Farm: 38</v>
      </c>
      <c r="V59" s="118" t="s">
        <v>105</v>
      </c>
      <c r="W59" s="9" t="str">
        <f>Record!L62</f>
        <v>Alive</v>
      </c>
      <c r="X59" s="118">
        <v>55</v>
      </c>
      <c r="Y59" s="167" t="s">
        <v>147</v>
      </c>
    </row>
    <row r="60" spans="12:30" x14ac:dyDescent="0.35">
      <c r="S60" s="118">
        <v>56</v>
      </c>
      <c r="T60" s="167" t="s">
        <v>149</v>
      </c>
      <c r="U60" s="118" t="str">
        <f>V60&amp;": "&amp;COUNTIF(V$5:V60,V60)</f>
        <v>Sai Su Nee goat Farm: 39</v>
      </c>
      <c r="V60" s="118" t="s">
        <v>105</v>
      </c>
      <c r="W60" s="9" t="str">
        <f>Record!L63</f>
        <v>Alive</v>
      </c>
      <c r="X60" s="118">
        <v>56</v>
      </c>
      <c r="Y60" s="167" t="s">
        <v>149</v>
      </c>
    </row>
    <row r="61" spans="12:30" x14ac:dyDescent="0.35">
      <c r="S61" s="118">
        <v>57</v>
      </c>
      <c r="T61" s="167" t="s">
        <v>151</v>
      </c>
      <c r="U61" s="118" t="str">
        <f>V61&amp;": "&amp;COUNTIF(V$5:V61,V61)</f>
        <v>Sai Su Nee goat Farm: 40</v>
      </c>
      <c r="V61" s="118" t="s">
        <v>105</v>
      </c>
      <c r="W61" s="9" t="str">
        <f>Record!L64</f>
        <v>Alive</v>
      </c>
      <c r="X61" s="118">
        <v>57</v>
      </c>
      <c r="Y61" s="167" t="s">
        <v>151</v>
      </c>
    </row>
    <row r="62" spans="12:30" x14ac:dyDescent="0.35">
      <c r="S62" s="168">
        <v>58</v>
      </c>
      <c r="T62" s="169" t="s">
        <v>152</v>
      </c>
      <c r="U62" s="118" t="str">
        <f>V62&amp;": "&amp;COUNTIF(V$5:V62,V62)</f>
        <v>Sai Su Nee goat Farm: 41</v>
      </c>
      <c r="V62" s="168" t="s">
        <v>105</v>
      </c>
      <c r="W62" s="9" t="str">
        <f>Record!L65</f>
        <v>Alive</v>
      </c>
      <c r="X62" s="168">
        <v>58</v>
      </c>
      <c r="Y62" s="169" t="s">
        <v>152</v>
      </c>
    </row>
    <row r="63" spans="12:30" x14ac:dyDescent="0.35">
      <c r="S63" s="118">
        <v>59</v>
      </c>
      <c r="T63" s="167" t="s">
        <v>153</v>
      </c>
      <c r="U63" s="118" t="str">
        <f>V63&amp;": "&amp;COUNTIF(V$5:V63,V63)</f>
        <v>Sai Su Nee goat Farm: 42</v>
      </c>
      <c r="V63" s="118" t="s">
        <v>105</v>
      </c>
      <c r="W63" s="9" t="str">
        <f>Record!L66</f>
        <v>Alive</v>
      </c>
      <c r="X63" s="118">
        <v>59</v>
      </c>
      <c r="Y63" s="167" t="s">
        <v>153</v>
      </c>
    </row>
    <row r="64" spans="12:30" x14ac:dyDescent="0.35">
      <c r="S64" s="118">
        <v>60</v>
      </c>
      <c r="T64" s="167" t="s">
        <v>154</v>
      </c>
      <c r="U64" s="118" t="str">
        <f>V64&amp;": "&amp;COUNTIF(V$5:V64,V64)</f>
        <v>Sai Su Nee goat Farm: 43</v>
      </c>
      <c r="V64" s="118" t="s">
        <v>105</v>
      </c>
      <c r="W64" s="9" t="str">
        <f>Record!L67</f>
        <v>Alive</v>
      </c>
      <c r="X64" s="118">
        <v>60</v>
      </c>
      <c r="Y64" s="167" t="s">
        <v>154</v>
      </c>
    </row>
    <row r="65" spans="19:25" x14ac:dyDescent="0.35">
      <c r="S65" s="118">
        <v>61</v>
      </c>
      <c r="T65" s="167" t="s">
        <v>155</v>
      </c>
      <c r="U65" s="118" t="str">
        <f>V65&amp;": "&amp;COUNTIF(V$5:V65,V65)</f>
        <v>Sai Su Nee goat Farm: 44</v>
      </c>
      <c r="V65" s="118" t="s">
        <v>105</v>
      </c>
      <c r="W65" s="9" t="str">
        <f>Record!L68</f>
        <v>Alive</v>
      </c>
      <c r="X65" s="118">
        <v>61</v>
      </c>
      <c r="Y65" s="167" t="s">
        <v>155</v>
      </c>
    </row>
    <row r="66" spans="19:25" x14ac:dyDescent="0.35">
      <c r="S66" s="118">
        <v>62</v>
      </c>
      <c r="T66" s="167" t="s">
        <v>158</v>
      </c>
      <c r="U66" s="118" t="str">
        <f>V66&amp;": "&amp;COUNTIF(V$5:V66,V66)</f>
        <v>Sai Su Nee goat Farm: 45</v>
      </c>
      <c r="V66" s="118" t="s">
        <v>105</v>
      </c>
      <c r="W66" s="9" t="str">
        <f>Record!L69</f>
        <v>Alive</v>
      </c>
      <c r="X66" s="118">
        <v>62</v>
      </c>
      <c r="Y66" s="167" t="s">
        <v>158</v>
      </c>
    </row>
    <row r="67" spans="19:25" x14ac:dyDescent="0.35">
      <c r="S67" s="118">
        <v>63</v>
      </c>
      <c r="T67" s="167" t="s">
        <v>159</v>
      </c>
      <c r="U67" s="118" t="str">
        <f>V67&amp;": "&amp;COUNTIF(V$5:V67,V67)</f>
        <v>Sai Su Nee goat Farm: 46</v>
      </c>
      <c r="V67" s="118" t="s">
        <v>105</v>
      </c>
      <c r="W67" s="9" t="str">
        <f>Record!L70</f>
        <v>Alive</v>
      </c>
      <c r="X67" s="118">
        <v>63</v>
      </c>
      <c r="Y67" s="167" t="s">
        <v>159</v>
      </c>
    </row>
    <row r="68" spans="19:25" x14ac:dyDescent="0.35">
      <c r="S68" s="118">
        <v>64</v>
      </c>
      <c r="T68" s="167" t="s">
        <v>160</v>
      </c>
      <c r="U68" s="118" t="str">
        <f>V68&amp;": "&amp;COUNTIF(V$5:V68,V68)</f>
        <v>Sai Su Nee goat Farm: 47</v>
      </c>
      <c r="V68" s="118" t="s">
        <v>105</v>
      </c>
      <c r="W68" s="9" t="str">
        <f>Record!L71</f>
        <v>Alive</v>
      </c>
      <c r="X68" s="118">
        <v>64</v>
      </c>
      <c r="Y68" s="167" t="s">
        <v>160</v>
      </c>
    </row>
    <row r="69" spans="19:25" x14ac:dyDescent="0.35">
      <c r="S69" s="118">
        <v>65</v>
      </c>
      <c r="T69" s="167" t="s">
        <v>175</v>
      </c>
      <c r="U69" s="118" t="str">
        <f>V69&amp;": "&amp;COUNTIF(V$5:V69,V69)</f>
        <v>Sai Su Nee goat Farm: 48</v>
      </c>
      <c r="V69" s="118" t="s">
        <v>105</v>
      </c>
      <c r="W69" s="9" t="str">
        <f>Record!L72</f>
        <v>Alive</v>
      </c>
      <c r="X69" s="118">
        <v>65</v>
      </c>
      <c r="Y69" s="167" t="s">
        <v>175</v>
      </c>
    </row>
    <row r="70" spans="19:25" x14ac:dyDescent="0.35">
      <c r="S70" s="118">
        <v>66</v>
      </c>
      <c r="T70" s="167" t="s">
        <v>176</v>
      </c>
      <c r="U70" s="118" t="str">
        <f>V70&amp;": "&amp;COUNTIF(V$5:V70,V70)</f>
        <v>Sai Su Nee goat Farm: 49</v>
      </c>
      <c r="V70" s="118" t="s">
        <v>105</v>
      </c>
      <c r="W70" s="9" t="str">
        <f>Record!L73</f>
        <v>Alive</v>
      </c>
      <c r="X70" s="118">
        <v>66</v>
      </c>
      <c r="Y70" s="167" t="s">
        <v>176</v>
      </c>
    </row>
    <row r="71" spans="19:25" x14ac:dyDescent="0.35">
      <c r="S71" s="118">
        <v>67</v>
      </c>
      <c r="T71" s="167" t="s">
        <v>201</v>
      </c>
      <c r="U71" s="118" t="str">
        <f>V71&amp;": "&amp;COUNTIF(V$5:V71,V71)</f>
        <v>Sai Su Nee goat Farm: 50</v>
      </c>
      <c r="V71" s="118" t="s">
        <v>105</v>
      </c>
      <c r="W71" s="9" t="str">
        <f>Record!L74</f>
        <v>Alive</v>
      </c>
      <c r="X71" s="118">
        <v>67</v>
      </c>
      <c r="Y71" s="167" t="s">
        <v>201</v>
      </c>
    </row>
    <row r="72" spans="19:25" x14ac:dyDescent="0.35">
      <c r="S72" s="118">
        <v>68</v>
      </c>
      <c r="T72" s="167" t="s">
        <v>202</v>
      </c>
      <c r="U72" s="118" t="str">
        <f>V72&amp;": "&amp;COUNTIF(V$5:V72,V72)</f>
        <v>Sai Su Nee goat Farm: 51</v>
      </c>
      <c r="V72" s="118" t="s">
        <v>105</v>
      </c>
      <c r="W72" s="9" t="str">
        <f>Record!L75</f>
        <v>Alive</v>
      </c>
      <c r="X72" s="118">
        <v>68</v>
      </c>
      <c r="Y72" s="167" t="s">
        <v>202</v>
      </c>
    </row>
    <row r="73" spans="19:25" x14ac:dyDescent="0.35">
      <c r="S73" s="118">
        <v>69</v>
      </c>
      <c r="T73" s="167" t="s">
        <v>203</v>
      </c>
      <c r="U73" s="118" t="str">
        <f>V73&amp;": "&amp;COUNTIF(V$5:V73,V73)</f>
        <v>Sai Su Nee goat Farm: 52</v>
      </c>
      <c r="V73" s="118" t="s">
        <v>105</v>
      </c>
      <c r="W73" s="9" t="str">
        <f>Record!L76</f>
        <v>Alive</v>
      </c>
      <c r="X73" s="118">
        <v>69</v>
      </c>
      <c r="Y73" s="167" t="s">
        <v>203</v>
      </c>
    </row>
    <row r="74" spans="19:25" x14ac:dyDescent="0.35">
      <c r="S74" s="118">
        <v>70</v>
      </c>
      <c r="T74" s="167" t="s">
        <v>229</v>
      </c>
      <c r="U74" s="118" t="str">
        <f>V74&amp;": "&amp;COUNTIF(V$5:V74,V74)</f>
        <v>Sai Su Nee goat Farm: 53</v>
      </c>
      <c r="V74" s="118" t="s">
        <v>105</v>
      </c>
      <c r="W74" s="9" t="str">
        <f>Record!L77</f>
        <v>Alive</v>
      </c>
      <c r="X74" s="118">
        <v>70</v>
      </c>
      <c r="Y74" s="167" t="s">
        <v>229</v>
      </c>
    </row>
    <row r="75" spans="19:25" x14ac:dyDescent="0.35">
      <c r="S75" s="118">
        <v>71</v>
      </c>
      <c r="T75" s="167" t="s">
        <v>237</v>
      </c>
      <c r="U75" s="118" t="str">
        <f>V75&amp;": "&amp;COUNTIF(V$5:V75,V75)</f>
        <v>Sai Su Nee goat Farm: 54</v>
      </c>
      <c r="V75" s="118" t="s">
        <v>105</v>
      </c>
      <c r="W75" s="9" t="str">
        <f>Record!L78</f>
        <v>Alive</v>
      </c>
      <c r="X75" s="118">
        <v>71</v>
      </c>
      <c r="Y75" s="167" t="s">
        <v>237</v>
      </c>
    </row>
    <row r="76" spans="19:25" x14ac:dyDescent="0.35">
      <c r="S76" s="118">
        <v>72</v>
      </c>
      <c r="T76" s="179" t="s">
        <v>241</v>
      </c>
      <c r="U76" s="118" t="str">
        <f>V76&amp;": "&amp;COUNTIF(V$5:V76,V76)</f>
        <v>Sai Su Nee goat Farm: 55</v>
      </c>
      <c r="V76" s="118" t="s">
        <v>105</v>
      </c>
      <c r="W76" s="9" t="str">
        <f>Record!L79</f>
        <v>Alive</v>
      </c>
      <c r="X76" s="118">
        <v>72</v>
      </c>
      <c r="Y76" s="179" t="s">
        <v>241</v>
      </c>
    </row>
    <row r="77" spans="19:25" x14ac:dyDescent="0.35">
      <c r="S77" s="118">
        <v>73</v>
      </c>
      <c r="T77" s="179" t="s">
        <v>242</v>
      </c>
      <c r="U77" s="118" t="str">
        <f>V77&amp;": "&amp;COUNTIF(V$5:V77,V77)</f>
        <v>Sai Su Nee goat Farm: 56</v>
      </c>
      <c r="V77" s="118" t="s">
        <v>105</v>
      </c>
      <c r="W77" s="9" t="str">
        <f>Record!L80</f>
        <v>Alive</v>
      </c>
      <c r="X77" s="118">
        <v>73</v>
      </c>
      <c r="Y77" s="179" t="s">
        <v>242</v>
      </c>
    </row>
    <row r="78" spans="19:25" x14ac:dyDescent="0.35">
      <c r="S78" s="118">
        <v>74</v>
      </c>
      <c r="T78" s="10" t="s">
        <v>243</v>
      </c>
      <c r="U78" s="118" t="str">
        <f>V78&amp;": "&amp;COUNTIF(V$5:V78,V78)</f>
        <v>Sai Su Nee goat Farm: 57</v>
      </c>
      <c r="V78" s="118" t="s">
        <v>105</v>
      </c>
      <c r="W78" s="9" t="str">
        <f>Record!L81</f>
        <v>Alive</v>
      </c>
      <c r="X78" s="118">
        <v>74</v>
      </c>
      <c r="Y78" s="10" t="s">
        <v>243</v>
      </c>
    </row>
    <row r="79" spans="19:25" x14ac:dyDescent="0.35">
      <c r="S79" s="164"/>
      <c r="T79" s="54"/>
      <c r="U79" s="165"/>
      <c r="V79" s="54"/>
    </row>
    <row r="80" spans="19:25" x14ac:dyDescent="0.35">
      <c r="S80" s="164"/>
      <c r="T80" s="54"/>
      <c r="U80" s="165"/>
      <c r="V80" s="54"/>
    </row>
    <row r="81" spans="19:22" x14ac:dyDescent="0.35">
      <c r="S81" s="164"/>
      <c r="T81" s="54"/>
      <c r="U81" s="165"/>
      <c r="V81" s="54"/>
    </row>
    <row r="82" spans="19:22" x14ac:dyDescent="0.35">
      <c r="S82" s="164"/>
      <c r="T82" s="54"/>
      <c r="U82" s="165"/>
      <c r="V82" s="54"/>
    </row>
    <row r="83" spans="19:22" x14ac:dyDescent="0.35">
      <c r="S83" s="164"/>
      <c r="T83" s="54"/>
      <c r="U83" s="165"/>
      <c r="V83" s="54"/>
    </row>
    <row r="84" spans="19:22" x14ac:dyDescent="0.35">
      <c r="S84" s="164"/>
      <c r="T84" s="54"/>
      <c r="U84" s="165"/>
      <c r="V84" s="54"/>
    </row>
    <row r="85" spans="19:22" x14ac:dyDescent="0.35">
      <c r="S85" s="164"/>
      <c r="T85" s="54"/>
      <c r="U85" s="165"/>
      <c r="V85" s="54"/>
    </row>
    <row r="86" spans="19:22" x14ac:dyDescent="0.35">
      <c r="S86" s="164"/>
      <c r="T86" s="54"/>
      <c r="U86" s="165"/>
      <c r="V86" s="54"/>
    </row>
    <row r="87" spans="19:22" x14ac:dyDescent="0.35">
      <c r="S87" s="164"/>
      <c r="T87" s="54"/>
      <c r="U87" s="165"/>
      <c r="V87" s="54"/>
    </row>
    <row r="88" spans="19:22" x14ac:dyDescent="0.35">
      <c r="S88" s="164"/>
      <c r="T88" s="54"/>
      <c r="U88" s="165"/>
      <c r="V88" s="54"/>
    </row>
    <row r="89" spans="19:22" x14ac:dyDescent="0.35">
      <c r="S89" s="164"/>
      <c r="T89" s="54"/>
      <c r="U89" s="165"/>
      <c r="V89" s="54"/>
    </row>
    <row r="90" spans="19:22" x14ac:dyDescent="0.35">
      <c r="S90" s="164"/>
      <c r="T90" s="54"/>
      <c r="U90" s="165"/>
      <c r="V90" s="54"/>
    </row>
    <row r="91" spans="19:22" x14ac:dyDescent="0.35">
      <c r="S91" s="164"/>
      <c r="T91" s="54"/>
      <c r="U91" s="165"/>
      <c r="V91" s="54"/>
    </row>
  </sheetData>
  <mergeCells count="14">
    <mergeCell ref="N11:N12"/>
    <mergeCell ref="O11:O12"/>
    <mergeCell ref="P11:P12"/>
    <mergeCell ref="B5:B6"/>
    <mergeCell ref="J5:L6"/>
    <mergeCell ref="M5:M6"/>
    <mergeCell ref="J11:L12"/>
    <mergeCell ref="M11:M12"/>
    <mergeCell ref="C5:C6"/>
    <mergeCell ref="D5:D6"/>
    <mergeCell ref="E5:E6"/>
    <mergeCell ref="F5:F6"/>
    <mergeCell ref="G5:G6"/>
    <mergeCell ref="H5:H6"/>
  </mergeCells>
  <dataValidations count="1">
    <dataValidation type="list" allowBlank="1" showInputMessage="1" showErrorMessage="1" sqref="V9">
      <formula1>$L$8:$L$13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Spinner 1">
              <controlPr defaultSize="0" autoPict="0">
                <anchor moveWithCells="1" sizeWithCells="1">
                  <from>
                    <xdr:col>13</xdr:col>
                    <xdr:colOff>266700</xdr:colOff>
                    <xdr:row>4</xdr:row>
                    <xdr:rowOff>19050</xdr:rowOff>
                  </from>
                  <to>
                    <xdr:col>14</xdr:col>
                    <xdr:colOff>342900</xdr:colOff>
                    <xdr:row>6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List!#REF!</xm:f>
          </x14:formula1>
          <xm:sqref>V5:V8 V40:V78 V10:V38 Y27 T27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-0.499984740745262"/>
  </sheetPr>
  <dimension ref="A1:AD78"/>
  <sheetViews>
    <sheetView workbookViewId="0">
      <selection activeCell="U81" sqref="U81"/>
    </sheetView>
  </sheetViews>
  <sheetFormatPr defaultRowHeight="15.5" x14ac:dyDescent="0.35"/>
  <cols>
    <col min="1" max="1" width="1.765625" customWidth="1"/>
    <col min="2" max="2" width="4.921875" style="17" customWidth="1"/>
    <col min="3" max="3" width="9.921875" customWidth="1"/>
    <col min="4" max="4" width="13.61328125" bestFit="1" customWidth="1"/>
    <col min="5" max="5" width="10.61328125" customWidth="1"/>
    <col min="6" max="6" width="10.765625" style="3" customWidth="1"/>
    <col min="7" max="7" width="12.921875" style="3" customWidth="1"/>
    <col min="8" max="8" width="11.69140625" style="17" bestFit="1" customWidth="1"/>
    <col min="9" max="9" width="22.3828125" style="17" bestFit="1" customWidth="1"/>
    <col min="10" max="10" width="5.23046875" style="5" bestFit="1" customWidth="1"/>
    <col min="11" max="11" width="3.07421875" customWidth="1"/>
    <col min="12" max="12" width="10.53515625" customWidth="1"/>
    <col min="13" max="13" width="5.765625" style="3" customWidth="1"/>
    <col min="14" max="14" width="6.07421875" customWidth="1"/>
    <col min="15" max="15" width="5.765625" customWidth="1"/>
    <col min="16" max="16" width="9.765625" customWidth="1"/>
    <col min="17" max="17" width="8.765625" style="5" bestFit="1" customWidth="1"/>
    <col min="18" max="20" width="12.765625" customWidth="1"/>
    <col min="21" max="21" width="20.07421875" customWidth="1"/>
    <col min="22" max="22" width="17.921875" customWidth="1"/>
    <col min="23" max="23" width="5.3046875" customWidth="1"/>
    <col min="24" max="24" width="12.23046875" customWidth="1"/>
    <col min="25" max="25" width="11.69140625" customWidth="1"/>
    <col min="27" max="27" width="16.3046875" bestFit="1" customWidth="1"/>
    <col min="28" max="28" width="18" customWidth="1"/>
    <col min="29" max="29" width="5.07421875" customWidth="1"/>
  </cols>
  <sheetData>
    <row r="1" spans="1:25" x14ac:dyDescent="0.35">
      <c r="A1" s="10"/>
      <c r="B1" s="10"/>
      <c r="C1" s="10"/>
      <c r="D1" s="10"/>
      <c r="E1" s="10"/>
      <c r="F1" s="10"/>
      <c r="G1" s="10"/>
      <c r="H1" s="10"/>
      <c r="I1" s="10"/>
      <c r="J1" s="12"/>
      <c r="K1" s="10"/>
      <c r="L1" s="10"/>
      <c r="M1" s="10"/>
      <c r="N1" s="10"/>
      <c r="O1" s="10"/>
      <c r="P1" s="10"/>
      <c r="Q1" s="12"/>
      <c r="R1" s="10"/>
      <c r="S1" s="10"/>
      <c r="T1" s="10"/>
      <c r="U1" s="10"/>
      <c r="V1" s="10"/>
    </row>
    <row r="2" spans="1:25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>
        <v>15</v>
      </c>
      <c r="N2" s="10"/>
      <c r="O2" s="10"/>
      <c r="P2" s="10"/>
      <c r="Q2" s="12"/>
      <c r="R2" s="10"/>
      <c r="S2" s="10"/>
      <c r="T2" s="10"/>
      <c r="U2" s="10"/>
      <c r="V2" s="10"/>
    </row>
    <row r="3" spans="1:25" ht="15" customHeight="1" x14ac:dyDescent="0.35">
      <c r="A3" s="10"/>
      <c r="B3" s="10"/>
      <c r="C3" s="10"/>
      <c r="D3" s="10"/>
      <c r="E3" s="10"/>
      <c r="F3" s="10"/>
      <c r="G3" s="10"/>
      <c r="H3" s="10"/>
      <c r="I3" s="10"/>
      <c r="J3" s="12"/>
      <c r="K3" s="1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</row>
    <row r="4" spans="1:25" ht="15.75" customHeight="1" thickBot="1" x14ac:dyDescent="0.4">
      <c r="A4" s="15">
        <v>2</v>
      </c>
      <c r="B4" s="10"/>
      <c r="C4" s="10"/>
      <c r="D4" s="10"/>
      <c r="E4" s="10"/>
      <c r="F4" s="10"/>
      <c r="G4" s="10"/>
      <c r="H4" s="10"/>
      <c r="I4" s="9"/>
      <c r="J4" s="12"/>
      <c r="K4" s="10"/>
      <c r="L4" s="10"/>
      <c r="M4" s="10"/>
      <c r="N4" s="10"/>
      <c r="O4" s="10"/>
      <c r="P4" s="10"/>
      <c r="Q4" s="10"/>
      <c r="R4" s="10"/>
      <c r="S4" s="10"/>
      <c r="T4" s="10"/>
      <c r="U4" s="170">
        <v>1</v>
      </c>
      <c r="V4" s="170">
        <v>2</v>
      </c>
      <c r="W4" s="170">
        <v>3</v>
      </c>
      <c r="X4" s="170">
        <v>4</v>
      </c>
    </row>
    <row r="5" spans="1:25" ht="15" customHeight="1" x14ac:dyDescent="0.35">
      <c r="A5" s="15">
        <v>3</v>
      </c>
      <c r="B5" s="301" t="s">
        <v>74</v>
      </c>
      <c r="C5" s="331" t="s">
        <v>0</v>
      </c>
      <c r="D5" s="331" t="s">
        <v>50</v>
      </c>
      <c r="E5" s="331" t="s">
        <v>2</v>
      </c>
      <c r="F5" s="331" t="s">
        <v>4</v>
      </c>
      <c r="G5" s="331" t="s">
        <v>47</v>
      </c>
      <c r="H5" s="305" t="s">
        <v>81</v>
      </c>
      <c r="I5" s="303" t="s">
        <v>77</v>
      </c>
      <c r="J5" s="329" t="s">
        <v>69</v>
      </c>
      <c r="K5" s="10"/>
      <c r="L5" s="287" t="str">
        <f>VLOOKUP($M$2,List!B7:'List'!T100,3,0)</f>
        <v>Toni Ann Family</v>
      </c>
      <c r="M5" s="288"/>
      <c r="N5" s="288"/>
      <c r="O5" s="291">
        <f>COUNT(B7:B29)</f>
        <v>3</v>
      </c>
      <c r="P5" s="10"/>
      <c r="Q5" s="10"/>
      <c r="R5" s="10"/>
      <c r="S5" s="118">
        <v>1</v>
      </c>
      <c r="T5" s="167" t="s">
        <v>7</v>
      </c>
      <c r="U5" s="118" t="str">
        <f>V5&amp;": "&amp;COUNTIF(V$5:V5,V5)</f>
        <v>Au gus To Family: 1</v>
      </c>
      <c r="V5" s="179" t="s">
        <v>231</v>
      </c>
      <c r="W5" s="118">
        <v>1</v>
      </c>
      <c r="X5" s="167" t="s">
        <v>7</v>
      </c>
    </row>
    <row r="6" spans="1:25" ht="15" customHeight="1" thickBot="1" x14ac:dyDescent="0.4">
      <c r="A6" s="15">
        <v>4</v>
      </c>
      <c r="B6" s="307"/>
      <c r="C6" s="332"/>
      <c r="D6" s="332"/>
      <c r="E6" s="332"/>
      <c r="F6" s="332"/>
      <c r="G6" s="332"/>
      <c r="H6" s="327"/>
      <c r="I6" s="326"/>
      <c r="J6" s="330"/>
      <c r="K6" s="10"/>
      <c r="L6" s="289"/>
      <c r="M6" s="290"/>
      <c r="N6" s="290"/>
      <c r="O6" s="292"/>
      <c r="P6" s="9"/>
      <c r="Q6" s="10"/>
      <c r="R6" s="10"/>
      <c r="S6" s="118">
        <v>2</v>
      </c>
      <c r="T6" s="167" t="s">
        <v>5</v>
      </c>
      <c r="U6" s="118" t="str">
        <f>V6&amp;": "&amp;COUNTIF(V$5:V6,V6)</f>
        <v>Toni Ann Family: 1</v>
      </c>
      <c r="V6" s="118" t="s">
        <v>37</v>
      </c>
      <c r="W6" s="118">
        <v>2</v>
      </c>
      <c r="X6" s="167" t="s">
        <v>5</v>
      </c>
    </row>
    <row r="7" spans="1:25" ht="15" customHeight="1" thickBot="1" x14ac:dyDescent="0.4">
      <c r="A7" s="15">
        <v>1</v>
      </c>
      <c r="B7" s="183">
        <f>IFERROR(VLOOKUP($L$5&amp;": "&amp;$A7,U5:X100,3,0),"")</f>
        <v>2</v>
      </c>
      <c r="C7" s="64" t="str">
        <f>IFERROR(VLOOKUP($B7,Family!S$5:'Family'!$X$100,2,0),"")</f>
        <v>Toni Ann</v>
      </c>
      <c r="D7" s="64" t="str">
        <f>IFERROR(VLOOKUP($B7,Record!$B$8:'Record'!$Y$100,8,0),"")</f>
        <v>Mother</v>
      </c>
      <c r="E7" s="64" t="str">
        <f>IFERROR(VLOOKUP($B7,Record!$B$8:'Record'!$Y$100,3,0),"")</f>
        <v>Female</v>
      </c>
      <c r="F7" s="64" t="str">
        <f>IFERROR(VLOOKUP($B7,Record!$B$8:'Record'!$Y$100,6,0),"")</f>
        <v>Unknow</v>
      </c>
      <c r="G7" s="64" t="str">
        <f>IFERROR(VLOOKUP($B7,Record!$B$8:'Record'!XC$100,7,0),"")</f>
        <v>Unknow</v>
      </c>
      <c r="H7" s="67">
        <f>IFERROR(VLOOKUP($B7,Record!$B$8:'Record'!$Y$100,4,0),"")</f>
        <v>43807</v>
      </c>
      <c r="I7" s="216" t="str">
        <f ca="1">IFERROR(VLOOKUP($B7,Record!$B$8:'Record'!$Y$100,13,0),"")</f>
        <v xml:space="preserve">3 Years 5 Month 29 Days </v>
      </c>
      <c r="J7" s="180" t="str">
        <f>IFERROR(VLOOKUP($B7,Record!$B$8:'Record'!$Y$100,11,0),"")</f>
        <v>Alive</v>
      </c>
      <c r="K7" s="15">
        <f>IF(COUNTIF(D$7:$D7,D7)=1,1,0)</f>
        <v>1</v>
      </c>
      <c r="L7" s="192" t="s">
        <v>6</v>
      </c>
      <c r="M7" s="194">
        <f>IF(COUNTIF($E$7:$E$35,$L$7)=0,"",COUNTIF($E$7:$E$35,$L$7))</f>
        <v>1</v>
      </c>
      <c r="N7" s="192" t="s">
        <v>8</v>
      </c>
      <c r="O7" s="193">
        <f>IF(COUNTIF($E$7:$E$35,$N$7)=0,"",COUNTIF($E$7:$E$35,$N$7))</f>
        <v>2</v>
      </c>
      <c r="P7" s="10"/>
      <c r="Q7" s="10"/>
      <c r="R7" s="10"/>
      <c r="S7" s="118">
        <v>3</v>
      </c>
      <c r="T7" s="167" t="s">
        <v>9</v>
      </c>
      <c r="U7" s="118" t="str">
        <f>V7&amp;": "&amp;COUNTIF(V$5:V7,V7)</f>
        <v>Hope Family: 1</v>
      </c>
      <c r="V7" s="118" t="s">
        <v>42</v>
      </c>
      <c r="W7" s="118">
        <v>3</v>
      </c>
      <c r="X7" s="167" t="s">
        <v>9</v>
      </c>
      <c r="Y7" s="34"/>
    </row>
    <row r="8" spans="1:25" ht="15" customHeight="1" x14ac:dyDescent="0.35">
      <c r="A8" s="15">
        <v>2</v>
      </c>
      <c r="B8" s="184">
        <f>IFERROR(VLOOKUP($L$5&amp;": "&amp;$A8,Family!U6:'Family'!X101,3,0),"")</f>
        <v>17</v>
      </c>
      <c r="C8" s="13" t="str">
        <f>IFERROR(VLOOKUP($B8,Family!S6:'Family'!$X$100,2,0),"")</f>
        <v>Toni</v>
      </c>
      <c r="D8" s="13" t="str">
        <f>IFERROR(VLOOKUP($B8,Record!$B$8:'Record'!$Y$100,8,0),"")</f>
        <v>Son</v>
      </c>
      <c r="E8" s="13" t="str">
        <f>IFERROR(VLOOKUP($B8,Record!$B$8:'Record'!$Y$100,3,0),"")</f>
        <v>Male</v>
      </c>
      <c r="F8" s="13" t="str">
        <f>IFERROR(VLOOKUP($B8,Record!$B$8:'Record'!$Y$100,6,0),"")</f>
        <v>Toni Ann</v>
      </c>
      <c r="G8" s="13" t="str">
        <f>IFERROR(VLOOKUP($B8,Record!$B$8:'Record'!XC$100,7,0),"")</f>
        <v>Au gus To</v>
      </c>
      <c r="H8" s="56">
        <f>IFERROR(VLOOKUP($B8,Record!$B$8:'Record'!$Y$100,4,0),"")</f>
        <v>44081</v>
      </c>
      <c r="I8" s="217" t="str">
        <f>IFERROR(VLOOKUP($B8,Record!$B$8:'Record'!$Y$100,13,0),"")</f>
        <v xml:space="preserve">0 Years 4 Month 22 Days </v>
      </c>
      <c r="J8" s="181" t="str">
        <f>IFERROR(VLOOKUP($B8,Record!$B$8:'Record'!$Y$100,11,0),"")</f>
        <v>Dead</v>
      </c>
      <c r="K8" s="15">
        <f>IF(COUNTIF(D$7:$D8,D8)=1,1,0)</f>
        <v>1</v>
      </c>
      <c r="L8" s="11"/>
      <c r="M8" s="11"/>
      <c r="N8" s="11"/>
      <c r="O8" s="11"/>
      <c r="P8" s="10"/>
      <c r="Q8" s="10"/>
      <c r="R8" s="10"/>
      <c r="S8" s="118">
        <v>4</v>
      </c>
      <c r="T8" s="167" t="s">
        <v>10</v>
      </c>
      <c r="U8" s="118" t="str">
        <f>V8&amp;": "&amp;COUNTIF(V$5:V8,V8)</f>
        <v>Zozibini Family: 1</v>
      </c>
      <c r="V8" s="118" t="s">
        <v>38</v>
      </c>
      <c r="W8" s="118">
        <v>4</v>
      </c>
      <c r="X8" s="167" t="s">
        <v>10</v>
      </c>
      <c r="Y8" s="34"/>
    </row>
    <row r="9" spans="1:25" ht="16" thickBot="1" x14ac:dyDescent="0.4">
      <c r="A9" s="15">
        <v>3</v>
      </c>
      <c r="B9" s="184">
        <f>IFERROR(VLOOKUP($L$5&amp;": "&amp;$A9,Family!U7:'Family'!X102,3,0),"")</f>
        <v>53</v>
      </c>
      <c r="C9" s="13" t="str">
        <f>IFERROR(VLOOKUP($B9,Family!S7:'Family'!$X$100,2,0),"")</f>
        <v>Tiny</v>
      </c>
      <c r="D9" s="13" t="str">
        <f>IFERROR(VLOOKUP($B9,Record!$B$8:'Record'!$Y$100,8,0),"")</f>
        <v>Son</v>
      </c>
      <c r="E9" s="13" t="str">
        <f>IFERROR(VLOOKUP($B9,Record!$B$8:'Record'!$Y$100,3,0),"")</f>
        <v>Male</v>
      </c>
      <c r="F9" s="13" t="str">
        <f>IFERROR(VLOOKUP($B9,Record!$B$8:'Record'!$Y$100,6,0),"")</f>
        <v>Toni Ann</v>
      </c>
      <c r="G9" s="13" t="str">
        <f>IFERROR(VLOOKUP($B9,Record!$B$8:'Record'!XC$100,7,0),"")</f>
        <v>Au gus To</v>
      </c>
      <c r="H9" s="56">
        <f>IFERROR(VLOOKUP($B9,Record!$B$8:'Record'!$Y$100,4,0),"")</f>
        <v>44708</v>
      </c>
      <c r="I9" s="217" t="str">
        <f ca="1">IFERROR(VLOOKUP($B9,Record!$B$8:'Record'!$Y$100,13,0),"")</f>
        <v xml:space="preserve">1 Years 0 Month 10 Days </v>
      </c>
      <c r="J9" s="181" t="str">
        <f>IFERROR(VLOOKUP($B9,Record!$B$8:'Record'!$Y$100,11,0),"")</f>
        <v>Alive</v>
      </c>
      <c r="K9" s="15">
        <f>IF(COUNTIF(D$7:$D9,D9)=1,1,0)</f>
        <v>0</v>
      </c>
      <c r="L9" s="10"/>
      <c r="M9" s="10"/>
      <c r="N9" s="10"/>
      <c r="O9" s="10"/>
      <c r="P9" s="10"/>
      <c r="Q9" s="10"/>
      <c r="R9" s="10"/>
      <c r="S9" s="118">
        <v>5</v>
      </c>
      <c r="T9" s="167" t="s">
        <v>103</v>
      </c>
      <c r="U9" s="118" t="str">
        <f>V9&amp;": "&amp;COUNTIF(V$5:V9,V9)</f>
        <v>Natasha Family: 1</v>
      </c>
      <c r="V9" s="118" t="s">
        <v>53</v>
      </c>
      <c r="W9" s="118">
        <v>5</v>
      </c>
      <c r="X9" s="167" t="s">
        <v>103</v>
      </c>
      <c r="Y9" s="48"/>
    </row>
    <row r="10" spans="1:25" ht="15" customHeight="1" x14ac:dyDescent="0.35">
      <c r="A10" s="15">
        <v>4</v>
      </c>
      <c r="B10" s="184" t="str">
        <f>IFERROR(VLOOKUP($L$5&amp;": "&amp;$A10,Family!U8:'Family'!X103,3,0),"")</f>
        <v/>
      </c>
      <c r="C10" s="13" t="str">
        <f>IFERROR(VLOOKUP($B10,Family!S8:'Family'!$X$100,2,0),"")</f>
        <v/>
      </c>
      <c r="D10" s="13" t="str">
        <f>IFERROR(VLOOKUP($B10,Record!$B$8:'Record'!$Y$100,8,0),"")</f>
        <v/>
      </c>
      <c r="E10" s="13" t="str">
        <f>IFERROR(VLOOKUP($B10,Record!$B$8:'Record'!$Y$100,3,0),"")</f>
        <v/>
      </c>
      <c r="F10" s="13" t="str">
        <f>IFERROR(VLOOKUP($B10,Record!$B$8:'Record'!$Y$100,6,0),"")</f>
        <v/>
      </c>
      <c r="G10" s="13" t="str">
        <f>IFERROR(VLOOKUP($B10,Record!$B$8:'Record'!XC$100,7,0),"")</f>
        <v/>
      </c>
      <c r="H10" s="56" t="str">
        <f>IFERROR(VLOOKUP($B10,Record!$B$8:'Record'!$Y$100,4,0),"")</f>
        <v/>
      </c>
      <c r="I10" s="217" t="str">
        <f>IFERROR(VLOOKUP($B10,Record!$B$8:'Record'!$Y$100,13,0),"")</f>
        <v/>
      </c>
      <c r="J10" s="181" t="str">
        <f>IFERROR(VLOOKUP($B10,Record!$B$8:'Record'!$Y$100,11,0),"")</f>
        <v/>
      </c>
      <c r="K10" s="15">
        <f>IF(COUNTIF(D$7:$D10,D10)=1,1,0)</f>
        <v>1</v>
      </c>
      <c r="L10" s="20" t="s">
        <v>4</v>
      </c>
      <c r="M10" s="41"/>
      <c r="N10" s="42"/>
      <c r="O10" s="23">
        <f t="shared" ref="O10:O17" si="0">IF(COUNTIF($D$7:$D$34,$L10)=0,"",COUNTIF($D$7:$D$34,$L10))</f>
        <v>1</v>
      </c>
      <c r="P10" s="10"/>
      <c r="Q10" s="10"/>
      <c r="R10" s="10"/>
      <c r="S10" s="118">
        <v>6</v>
      </c>
      <c r="T10" s="167" t="s">
        <v>13</v>
      </c>
      <c r="U10" s="118" t="str">
        <f>V10&amp;": "&amp;COUNTIF(V$5:V10,V10)</f>
        <v>Lisa Family: 1</v>
      </c>
      <c r="V10" s="118" t="s">
        <v>39</v>
      </c>
      <c r="W10" s="118">
        <v>6</v>
      </c>
      <c r="X10" s="167" t="s">
        <v>13</v>
      </c>
      <c r="Y10" s="34"/>
    </row>
    <row r="11" spans="1:25" ht="15" customHeight="1" x14ac:dyDescent="0.35">
      <c r="A11" s="15">
        <v>5</v>
      </c>
      <c r="B11" s="184" t="str">
        <f>IFERROR(VLOOKUP($L$5&amp;": "&amp;$A11,Family!U9:'Family'!X104,3,0),"")</f>
        <v/>
      </c>
      <c r="C11" s="13" t="str">
        <f>IFERROR(VLOOKUP($B11,Family!S9:'Family'!$X$100,2,0),"")</f>
        <v/>
      </c>
      <c r="D11" s="13" t="str">
        <f>IFERROR(VLOOKUP($B11,Record!$B$8:'Record'!$Y$100,8,0),"")</f>
        <v/>
      </c>
      <c r="E11" s="13" t="str">
        <f>IFERROR(VLOOKUP($B11,Record!$B$8:'Record'!$Y$100,3,0),"")</f>
        <v/>
      </c>
      <c r="F11" s="13" t="str">
        <f>IFERROR(VLOOKUP($B11,Record!$B$8:'Record'!$Y$100,6,0),"")</f>
        <v/>
      </c>
      <c r="G11" s="13" t="str">
        <f>IFERROR(VLOOKUP($B11,Record!$B$8:'Record'!XC$100,7,0),"")</f>
        <v/>
      </c>
      <c r="H11" s="56" t="str">
        <f>IFERROR(VLOOKUP($B11,Record!$B$8:'Record'!$Y$100,4,0),"")</f>
        <v/>
      </c>
      <c r="I11" s="217" t="str">
        <f>IFERROR(VLOOKUP($B11,Record!$B$8:'Record'!$Y$100,13,0),"")</f>
        <v/>
      </c>
      <c r="J11" s="181" t="str">
        <f>IFERROR(VLOOKUP($B11,Record!$B$8:'Record'!$Y$100,11,0),"")</f>
        <v/>
      </c>
      <c r="K11" s="15">
        <f>IF(COUNTIF(D$7:$D11,D11)=1,1,0)</f>
        <v>0</v>
      </c>
      <c r="L11" s="21" t="s">
        <v>48</v>
      </c>
      <c r="M11" s="40"/>
      <c r="N11" s="39"/>
      <c r="O11" s="22" t="str">
        <f t="shared" si="0"/>
        <v/>
      </c>
      <c r="P11" s="10"/>
      <c r="Q11" s="10"/>
      <c r="R11" s="10"/>
      <c r="S11" s="168">
        <v>7</v>
      </c>
      <c r="T11" s="169" t="s">
        <v>14</v>
      </c>
      <c r="U11" s="118" t="str">
        <f>V11&amp;": "&amp;COUNTIF(V$5:V11,V11)</f>
        <v>Lucy Family: 1</v>
      </c>
      <c r="V11" s="168" t="s">
        <v>40</v>
      </c>
      <c r="W11" s="168">
        <v>7</v>
      </c>
      <c r="X11" s="169" t="s">
        <v>14</v>
      </c>
      <c r="Y11" s="34"/>
    </row>
    <row r="12" spans="1:25" ht="15" customHeight="1" x14ac:dyDescent="0.35">
      <c r="A12" s="15">
        <v>6</v>
      </c>
      <c r="B12" s="184" t="str">
        <f>IFERROR(VLOOKUP($L$5&amp;": "&amp;$A12,Family!U10:'Family'!X105,3,0),"")</f>
        <v/>
      </c>
      <c r="C12" s="13" t="str">
        <f>IFERROR(VLOOKUP($B12,Family!S10:'Family'!$X$100,2,0),"")</f>
        <v/>
      </c>
      <c r="D12" s="13" t="str">
        <f>IFERROR(VLOOKUP($B12,Record!$B$8:'Record'!$Y$100,8,0),"")</f>
        <v/>
      </c>
      <c r="E12" s="13" t="str">
        <f>IFERROR(VLOOKUP($B12,Record!$B$8:'Record'!$Y$100,3,0),"")</f>
        <v/>
      </c>
      <c r="F12" s="13" t="str">
        <f>IFERROR(VLOOKUP($B12,Record!$B$8:'Record'!$Y$100,6,0),"")</f>
        <v/>
      </c>
      <c r="G12" s="13" t="str">
        <f>IFERROR(VLOOKUP($B12,Record!$B$8:'Record'!XC$100,7,0),"")</f>
        <v/>
      </c>
      <c r="H12" s="56" t="str">
        <f>IFERROR(VLOOKUP($B12,Record!$B$8:'Record'!$Y$100,4,0),"")</f>
        <v/>
      </c>
      <c r="I12" s="217" t="str">
        <f>IFERROR(VLOOKUP($B12,Record!$B$8:'Record'!$Y$100,13,0),"")</f>
        <v/>
      </c>
      <c r="J12" s="181" t="str">
        <f>IFERROR(VLOOKUP($B12,Record!$B$8:'Record'!$Y$100,11,0),"")</f>
        <v/>
      </c>
      <c r="K12" s="15">
        <f>IF(COUNTIF(D$7:$D12,D12)=1,1,0)</f>
        <v>0</v>
      </c>
      <c r="L12" s="21" t="s">
        <v>47</v>
      </c>
      <c r="M12" s="40"/>
      <c r="N12" s="39"/>
      <c r="O12" s="22" t="str">
        <f t="shared" si="0"/>
        <v/>
      </c>
      <c r="P12" s="10"/>
      <c r="Q12" s="10"/>
      <c r="R12" s="10"/>
      <c r="S12" s="118">
        <v>8</v>
      </c>
      <c r="T12" s="167" t="s">
        <v>31</v>
      </c>
      <c r="U12" s="118" t="str">
        <f>V12&amp;": "&amp;COUNTIF(V$5:V12,V12)</f>
        <v>Zozibini Family: 2</v>
      </c>
      <c r="V12" s="118" t="s">
        <v>38</v>
      </c>
      <c r="W12" s="118">
        <v>8</v>
      </c>
      <c r="X12" s="167" t="s">
        <v>31</v>
      </c>
      <c r="Y12" s="34"/>
    </row>
    <row r="13" spans="1:25" ht="15" customHeight="1" x14ac:dyDescent="0.35">
      <c r="A13" s="15">
        <v>7</v>
      </c>
      <c r="B13" s="184" t="str">
        <f>IFERROR(VLOOKUP($L$5&amp;": "&amp;$A13,Family!U11:'Family'!X106,3,0),"")</f>
        <v/>
      </c>
      <c r="C13" s="13" t="str">
        <f>IFERROR(VLOOKUP($B13,Family!S11:'Family'!$X$100,2,0),"")</f>
        <v/>
      </c>
      <c r="D13" s="13" t="str">
        <f>IFERROR(VLOOKUP($B13,Record!$B$8:'Record'!$Y$100,8,0),"")</f>
        <v/>
      </c>
      <c r="E13" s="13" t="str">
        <f>IFERROR(VLOOKUP($B13,Record!$B$8:'Record'!$Y$100,3,0),"")</f>
        <v/>
      </c>
      <c r="F13" s="13" t="str">
        <f>IFERROR(VLOOKUP($B13,Record!$B$8:'Record'!$Y$100,6,0),"")</f>
        <v/>
      </c>
      <c r="G13" s="13" t="str">
        <f>IFERROR(VLOOKUP($B13,Record!$B$8:'Record'!XC$100,7,0),"")</f>
        <v/>
      </c>
      <c r="H13" s="56" t="str">
        <f>IFERROR(VLOOKUP($B13,Record!$B$8:'Record'!$Y$100,4,0),"")</f>
        <v/>
      </c>
      <c r="I13" s="217" t="str">
        <f>IFERROR(VLOOKUP($B13,Record!$B$8:'Record'!$Y$100,13,0),"")</f>
        <v/>
      </c>
      <c r="J13" s="181" t="str">
        <f>IFERROR(VLOOKUP($B13,Record!$B$8:'Record'!$Y$100,11,0),"")</f>
        <v/>
      </c>
      <c r="K13" s="15">
        <f>IF(COUNTIF(D$7:$D13,D13)=1,1,0)</f>
        <v>0</v>
      </c>
      <c r="L13" s="333" t="s">
        <v>51</v>
      </c>
      <c r="M13" s="335"/>
      <c r="N13" s="335"/>
      <c r="O13" s="22" t="str">
        <f t="shared" si="0"/>
        <v/>
      </c>
      <c r="P13" s="10"/>
      <c r="Q13" s="10"/>
      <c r="R13" s="10"/>
      <c r="S13" s="118">
        <v>9</v>
      </c>
      <c r="T13" s="167" t="s">
        <v>20</v>
      </c>
      <c r="U13" s="118" t="str">
        <f>V13&amp;": "&amp;COUNTIF(V$5:V13,V13)</f>
        <v>Hope Family: 2</v>
      </c>
      <c r="V13" s="118" t="s">
        <v>42</v>
      </c>
      <c r="W13" s="118">
        <v>9</v>
      </c>
      <c r="X13" s="167" t="s">
        <v>20</v>
      </c>
      <c r="Y13" s="34"/>
    </row>
    <row r="14" spans="1:25" ht="15" customHeight="1" x14ac:dyDescent="0.35">
      <c r="A14" s="15">
        <v>8</v>
      </c>
      <c r="B14" s="184" t="str">
        <f>IFERROR(VLOOKUP($L$5&amp;": "&amp;$A14,Family!U12:'Family'!X107,3,0),"")</f>
        <v/>
      </c>
      <c r="C14" s="13" t="str">
        <f>IFERROR(VLOOKUP($B14,Family!S12:'Family'!$X$100,2,0),"")</f>
        <v/>
      </c>
      <c r="D14" s="13" t="str">
        <f>IFERROR(VLOOKUP($B14,Record!$B$8:'Record'!$Y$100,8,0),"")</f>
        <v/>
      </c>
      <c r="E14" s="13" t="str">
        <f>IFERROR(VLOOKUP($B14,Record!$B$8:'Record'!$Y$100,3,0),"")</f>
        <v/>
      </c>
      <c r="F14" s="13" t="str">
        <f>IFERROR(VLOOKUP($B14,Record!$B$8:'Record'!$Y$100,6,0),"")</f>
        <v/>
      </c>
      <c r="G14" s="13" t="str">
        <f>IFERROR(VLOOKUP($B14,Record!$B$8:'Record'!XC$100,7,0),"")</f>
        <v/>
      </c>
      <c r="H14" s="56" t="str">
        <f>IFERROR(VLOOKUP($B14,Record!$B$8:'Record'!$Y$100,4,0),"")</f>
        <v/>
      </c>
      <c r="I14" s="217" t="str">
        <f>IFERROR(VLOOKUP($B14,Record!$B$8:'Record'!$Y$100,13,0),"")</f>
        <v/>
      </c>
      <c r="J14" s="181" t="str">
        <f>IFERROR(VLOOKUP($B14,Record!$B$8:'Record'!$Y$100,11,0),"")</f>
        <v/>
      </c>
      <c r="K14" s="15">
        <v>0</v>
      </c>
      <c r="L14" s="333" t="s">
        <v>46</v>
      </c>
      <c r="M14" s="334"/>
      <c r="N14" s="334"/>
      <c r="O14" s="22" t="str">
        <f t="shared" si="0"/>
        <v/>
      </c>
      <c r="P14" s="10"/>
      <c r="Q14" s="10"/>
      <c r="R14" s="10"/>
      <c r="S14" s="118">
        <v>10</v>
      </c>
      <c r="T14" s="167" t="s">
        <v>23</v>
      </c>
      <c r="U14" s="118" t="str">
        <f>V14&amp;": "&amp;COUNTIF(V$5:V14,V14)</f>
        <v>Natasha Family: 2</v>
      </c>
      <c r="V14" s="118" t="s">
        <v>53</v>
      </c>
      <c r="W14" s="118">
        <v>10</v>
      </c>
      <c r="X14" s="167" t="s">
        <v>23</v>
      </c>
      <c r="Y14" s="34"/>
    </row>
    <row r="15" spans="1:25" ht="15" customHeight="1" x14ac:dyDescent="0.35">
      <c r="A15" s="15">
        <v>9</v>
      </c>
      <c r="B15" s="184" t="str">
        <f>IFERROR(VLOOKUP($L$5&amp;": "&amp;$A15,Family!U13:'Family'!X108,3,0),"")</f>
        <v/>
      </c>
      <c r="C15" s="13" t="str">
        <f>IFERROR(VLOOKUP($B15,Family!S13:'Family'!$X$100,2,0),"")</f>
        <v/>
      </c>
      <c r="D15" s="13" t="str">
        <f>IFERROR(VLOOKUP($B15,Record!$B$8:'Record'!$Y$100,8,0),"")</f>
        <v/>
      </c>
      <c r="E15" s="13" t="str">
        <f>IFERROR(VLOOKUP($B15,Record!$B$8:'Record'!$Y$100,3,0),"")</f>
        <v/>
      </c>
      <c r="F15" s="13" t="str">
        <f>IFERROR(VLOOKUP($B15,Record!$B$8:'Record'!$Y$100,6,0),"")</f>
        <v/>
      </c>
      <c r="G15" s="13" t="str">
        <f>IFERROR(VLOOKUP($B15,Record!$B$8:'Record'!XC$100,7,0),"")</f>
        <v/>
      </c>
      <c r="H15" s="56" t="str">
        <f>IFERROR(VLOOKUP($B15,Record!$B$8:'Record'!$Y$100,4,0),"")</f>
        <v/>
      </c>
      <c r="I15" s="217" t="str">
        <f>IFERROR(VLOOKUP($B15,Record!$B$8:'Record'!$Y$100,13,0),"")</f>
        <v/>
      </c>
      <c r="J15" s="181" t="str">
        <f>IFERROR(VLOOKUP($B15,Record!$B$8:'Record'!$Y$100,11,0),"")</f>
        <v/>
      </c>
      <c r="K15" s="15">
        <f>IF(COUNTIF(D$7:$D15,D15)=1,1,0)</f>
        <v>0</v>
      </c>
      <c r="L15" s="333" t="s">
        <v>45</v>
      </c>
      <c r="M15" s="334"/>
      <c r="N15" s="334"/>
      <c r="O15" s="22" t="str">
        <f t="shared" si="0"/>
        <v/>
      </c>
      <c r="P15" s="10"/>
      <c r="Q15" s="10"/>
      <c r="R15" s="10"/>
      <c r="S15" s="118">
        <v>11</v>
      </c>
      <c r="T15" s="167" t="s">
        <v>26</v>
      </c>
      <c r="U15" s="118" t="str">
        <f>V15&amp;": "&amp;COUNTIF(V$5:V15,V15)</f>
        <v>Mary Family: 1</v>
      </c>
      <c r="V15" s="118" t="s">
        <v>41</v>
      </c>
      <c r="W15" s="118">
        <v>11</v>
      </c>
      <c r="X15" s="167" t="s">
        <v>26</v>
      </c>
    </row>
    <row r="16" spans="1:25" ht="15" customHeight="1" x14ac:dyDescent="0.35">
      <c r="A16" s="15">
        <v>10</v>
      </c>
      <c r="B16" s="184" t="str">
        <f>IFERROR(VLOOKUP($L$5&amp;": "&amp;$A16,Family!U14:'Family'!X109,3,0),"")</f>
        <v/>
      </c>
      <c r="C16" s="13" t="str">
        <f>IFERROR(VLOOKUP($B16,Family!S14:'Family'!$X$100,2,0),"")</f>
        <v/>
      </c>
      <c r="D16" s="13" t="str">
        <f>IFERROR(VLOOKUP($B16,Record!$B$8:'Record'!$Y$100,8,0),"")</f>
        <v/>
      </c>
      <c r="E16" s="13" t="str">
        <f>IFERROR(VLOOKUP($B16,Record!$B$8:'Record'!$Y$100,3,0),"")</f>
        <v/>
      </c>
      <c r="F16" s="13" t="str">
        <f>IFERROR(VLOOKUP($B16,Record!$B$8:'Record'!$Y$100,6,0),"")</f>
        <v/>
      </c>
      <c r="G16" s="13" t="str">
        <f>IFERROR(VLOOKUP($B16,Record!$B$8:'Record'!XC$100,7,0),"")</f>
        <v/>
      </c>
      <c r="H16" s="56" t="str">
        <f>IFERROR(VLOOKUP($B16,Record!$B$8:'Record'!$Y$100,4,0),"")</f>
        <v/>
      </c>
      <c r="I16" s="217" t="str">
        <f>IFERROR(VLOOKUP($B16,Record!$B$8:'Record'!$Y$100,13,0),"")</f>
        <v/>
      </c>
      <c r="J16" s="181" t="str">
        <f>IFERROR(VLOOKUP($B16,Record!$B$8:'Record'!$Y$100,11,0),"")</f>
        <v/>
      </c>
      <c r="K16" s="15">
        <f>IF(COUNTIF(D$7:$D16,D16)=1,1,0)</f>
        <v>0</v>
      </c>
      <c r="L16" s="333" t="s">
        <v>52</v>
      </c>
      <c r="M16" s="334"/>
      <c r="N16" s="334"/>
      <c r="O16" s="22" t="str">
        <f t="shared" si="0"/>
        <v/>
      </c>
      <c r="P16" s="10"/>
      <c r="Q16" s="10"/>
      <c r="R16" s="10"/>
      <c r="S16" s="118">
        <v>12</v>
      </c>
      <c r="T16" s="167" t="s">
        <v>24</v>
      </c>
      <c r="U16" s="118" t="str">
        <f>V16&amp;": "&amp;COUNTIF(V$5:V16,V16)</f>
        <v>Mary Family: 2</v>
      </c>
      <c r="V16" s="118" t="s">
        <v>41</v>
      </c>
      <c r="W16" s="118">
        <v>12</v>
      </c>
      <c r="X16" s="167" t="s">
        <v>24</v>
      </c>
      <c r="Y16" s="34"/>
    </row>
    <row r="17" spans="1:30" ht="15" customHeight="1" thickBot="1" x14ac:dyDescent="0.4">
      <c r="A17" s="15">
        <v>11</v>
      </c>
      <c r="B17" s="184" t="str">
        <f>IFERROR(VLOOKUP($L$5&amp;": "&amp;$A17,Family!U15:'Family'!X110,3,0),"")</f>
        <v/>
      </c>
      <c r="C17" s="13" t="str">
        <f>IFERROR(VLOOKUP($B17,Family!S15:'Family'!$X$100,2,0),"")</f>
        <v/>
      </c>
      <c r="D17" s="13" t="str">
        <f>IFERROR(VLOOKUP($B17,Record!$B$8:'Record'!$Y$100,8,0),"")</f>
        <v/>
      </c>
      <c r="E17" s="13" t="str">
        <f>IFERROR(VLOOKUP($B17,Record!$B$8:'Record'!$Y$100,3,0),"")</f>
        <v/>
      </c>
      <c r="F17" s="13" t="str">
        <f>IFERROR(VLOOKUP($B17,Record!$B$8:'Record'!$Y$100,6,0),"")</f>
        <v/>
      </c>
      <c r="G17" s="13" t="str">
        <f>IFERROR(VLOOKUP($B17,Record!$B$8:'Record'!XC$100,7,0),"")</f>
        <v/>
      </c>
      <c r="H17" s="56" t="str">
        <f>IFERROR(VLOOKUP($B17,Record!$B$8:'Record'!$Y$100,4,0),"")</f>
        <v/>
      </c>
      <c r="I17" s="217" t="str">
        <f>IFERROR(VLOOKUP($B17,Record!$B$8:'Record'!$Y$100,13,0),"")</f>
        <v/>
      </c>
      <c r="J17" s="181" t="str">
        <f>IFERROR(VLOOKUP($B17,Record!$B$8:'Record'!$Y$100,11,0),"")</f>
        <v/>
      </c>
      <c r="K17" s="15">
        <f>IF(COUNTIF(D$7:$D17,D17)=1,1,0)</f>
        <v>0</v>
      </c>
      <c r="L17" s="19" t="s">
        <v>49</v>
      </c>
      <c r="M17" s="43"/>
      <c r="N17" s="38"/>
      <c r="O17" s="24">
        <f t="shared" si="0"/>
        <v>2</v>
      </c>
      <c r="P17" s="10"/>
      <c r="Q17" s="10"/>
      <c r="R17" s="10"/>
      <c r="S17" s="118">
        <v>13</v>
      </c>
      <c r="T17" s="167" t="s">
        <v>25</v>
      </c>
      <c r="U17" s="118" t="str">
        <f>V17&amp;": "&amp;COUNTIF(V$5:V17,V17)</f>
        <v>Mary Family: 3</v>
      </c>
      <c r="V17" s="118" t="s">
        <v>41</v>
      </c>
      <c r="W17" s="118">
        <v>13</v>
      </c>
      <c r="X17" s="167" t="s">
        <v>25</v>
      </c>
      <c r="Y17" s="48"/>
      <c r="AD17" s="34"/>
    </row>
    <row r="18" spans="1:30" ht="16" thickBot="1" x14ac:dyDescent="0.4">
      <c r="A18" s="15">
        <v>12</v>
      </c>
      <c r="B18" s="184" t="str">
        <f>IFERROR(VLOOKUP($L$5&amp;": "&amp;$A18,Family!U16:'Family'!X111,3,0),"")</f>
        <v/>
      </c>
      <c r="C18" s="13" t="str">
        <f>IFERROR(VLOOKUP($B18,Family!S16:'Family'!$X$100,2,0),"")</f>
        <v/>
      </c>
      <c r="D18" s="13" t="str">
        <f>IFERROR(VLOOKUP($B18,Record!$B$8:'Record'!$Y$100,8,0),"")</f>
        <v/>
      </c>
      <c r="E18" s="13" t="str">
        <f>IFERROR(VLOOKUP($B18,Record!$B$8:'Record'!$Y$100,3,0),"")</f>
        <v/>
      </c>
      <c r="F18" s="13" t="str">
        <f>IFERROR(VLOOKUP($B18,Record!$B$8:'Record'!$Y$100,6,0),"")</f>
        <v/>
      </c>
      <c r="G18" s="13" t="str">
        <f>IFERROR(VLOOKUP($B18,Record!$B$8:'Record'!XC$100,7,0),"")</f>
        <v/>
      </c>
      <c r="H18" s="56" t="str">
        <f>IFERROR(VLOOKUP($B18,Record!$B$8:'Record'!$Y$100,4,0),"")</f>
        <v/>
      </c>
      <c r="I18" s="217" t="str">
        <f>IFERROR(VLOOKUP($B18,Record!$B$8:'Record'!$Y$100,13,0),"")</f>
        <v/>
      </c>
      <c r="J18" s="181" t="str">
        <f>IFERROR(VLOOKUP($B18,Record!$B$8:'Record'!$Y$100,11,0),"")</f>
        <v/>
      </c>
      <c r="K18" s="15">
        <f>IF(COUNTIF(D$7:$D18,D18)=1,1,0)</f>
        <v>0</v>
      </c>
      <c r="L18" s="10"/>
      <c r="M18" s="10"/>
      <c r="N18" s="10"/>
      <c r="O18" s="10"/>
      <c r="P18" s="10"/>
      <c r="Q18" s="10"/>
      <c r="R18" s="10"/>
      <c r="S18" s="118">
        <v>14</v>
      </c>
      <c r="T18" s="167" t="s">
        <v>30</v>
      </c>
      <c r="U18" s="118" t="str">
        <f>V18&amp;": "&amp;COUNTIF(V$5:V18,V18)</f>
        <v>Lisa Family: 2</v>
      </c>
      <c r="V18" s="118" t="s">
        <v>39</v>
      </c>
      <c r="W18" s="118">
        <v>14</v>
      </c>
      <c r="X18" s="167" t="s">
        <v>30</v>
      </c>
      <c r="Y18" s="48"/>
      <c r="AD18" s="34"/>
    </row>
    <row r="19" spans="1:30" ht="15" customHeight="1" x14ac:dyDescent="0.35">
      <c r="A19" s="15">
        <v>13</v>
      </c>
      <c r="B19" s="184" t="str">
        <f>IFERROR(VLOOKUP($L$5&amp;": "&amp;$A19,Family!U17:'Family'!X112,3,0),"")</f>
        <v/>
      </c>
      <c r="C19" s="13" t="str">
        <f>IFERROR(VLOOKUP($B19,Family!S17:'Family'!$X$100,2,0),"")</f>
        <v/>
      </c>
      <c r="D19" s="13" t="str">
        <f>IFERROR(VLOOKUP($B19,Record!$B$8:'Record'!$Y$100,8,0),"")</f>
        <v/>
      </c>
      <c r="E19" s="13" t="str">
        <f>IFERROR(VLOOKUP($B19,Record!$B$8:'Record'!$Y$100,3,0),"")</f>
        <v/>
      </c>
      <c r="F19" s="13" t="str">
        <f>IFERROR(VLOOKUP($B19,Record!$B$8:'Record'!$Y$100,6,0),"")</f>
        <v/>
      </c>
      <c r="G19" s="13" t="str">
        <f>IFERROR(VLOOKUP($B19,Record!$B$8:'Record'!XC$100,7,0),"")</f>
        <v/>
      </c>
      <c r="H19" s="56" t="str">
        <f>IFERROR(VLOOKUP($B19,Record!$B$8:'Record'!$Y$100,4,0),"")</f>
        <v/>
      </c>
      <c r="I19" s="217" t="str">
        <f>IFERROR(VLOOKUP($B19,Record!$B$8:'Record'!$Y$100,13,0),"")</f>
        <v/>
      </c>
      <c r="J19" s="181" t="str">
        <f>IFERROR(VLOOKUP($B19,Record!$B$8:'Record'!$Y$100,11,0),"")</f>
        <v/>
      </c>
      <c r="K19" s="15">
        <f>IF(COUNTIF(D$7:$D19,D19)=1,1,0)</f>
        <v>0</v>
      </c>
      <c r="L19" s="186" t="s">
        <v>21</v>
      </c>
      <c r="M19" s="187">
        <f>IF(COUNTIF($J$7:$J$35,$L$19)=0,"",COUNTIF($J$7:$J$35,$L$19))</f>
        <v>2</v>
      </c>
      <c r="N19" s="10"/>
      <c r="O19" s="10" t="str">
        <f>IFERROR(VLOOKUP($L$5,Record!$B$8:'Record'!$Y$100,1,0),"")</f>
        <v/>
      </c>
      <c r="P19" s="10"/>
      <c r="Q19" s="10"/>
      <c r="R19" s="10"/>
      <c r="S19" s="118">
        <v>15</v>
      </c>
      <c r="T19" s="167" t="s">
        <v>28</v>
      </c>
      <c r="U19" s="118" t="str">
        <f>V19&amp;": "&amp;COUNTIF(V$5:V19,V19)</f>
        <v>Lucy Family: 2</v>
      </c>
      <c r="V19" s="118" t="s">
        <v>40</v>
      </c>
      <c r="W19" s="118">
        <v>15</v>
      </c>
      <c r="X19" s="167" t="s">
        <v>28</v>
      </c>
      <c r="Y19" s="48"/>
      <c r="AD19" s="34"/>
    </row>
    <row r="20" spans="1:30" x14ac:dyDescent="0.35">
      <c r="A20" s="15">
        <v>14</v>
      </c>
      <c r="B20" s="184" t="str">
        <f>IFERROR(VLOOKUP($L$5&amp;": "&amp;$A20,Family!U18:'Family'!X113,3,0),"")</f>
        <v/>
      </c>
      <c r="C20" s="13" t="str">
        <f>IFERROR(VLOOKUP($B20,Family!S18:'Family'!$X$100,2,0),"")</f>
        <v/>
      </c>
      <c r="D20" s="13" t="str">
        <f>IFERROR(VLOOKUP($B20,Record!$B$8:'Record'!$Y$100,8,0),"")</f>
        <v/>
      </c>
      <c r="E20" s="13" t="str">
        <f>IFERROR(VLOOKUP($B20,Record!$B$8:'Record'!$Y$100,3,0),"")</f>
        <v/>
      </c>
      <c r="F20" s="13" t="str">
        <f>IFERROR(VLOOKUP($B20,Record!$B$8:'Record'!$Y$100,6,0),"")</f>
        <v/>
      </c>
      <c r="G20" s="13" t="str">
        <f>IFERROR(VLOOKUP($B20,Record!$B$8:'Record'!XC$100,7,0),"")</f>
        <v/>
      </c>
      <c r="H20" s="56" t="str">
        <f>IFERROR(VLOOKUP($B20,Record!$B$8:'Record'!$Y$100,4,0),"")</f>
        <v/>
      </c>
      <c r="I20" s="217" t="str">
        <f>IFERROR(VLOOKUP($B20,Record!$B$8:'Record'!$Y$100,13,0),"")</f>
        <v/>
      </c>
      <c r="J20" s="181" t="str">
        <f>IFERROR(VLOOKUP($B20,Record!$B$8:'Record'!$Y$100,11,0),"")</f>
        <v/>
      </c>
      <c r="K20" s="15">
        <f>IF(COUNTIF(D$7:$D20,D20)=1,1,0)</f>
        <v>0</v>
      </c>
      <c r="L20" s="188" t="s">
        <v>35</v>
      </c>
      <c r="M20" s="189">
        <f>IF(COUNTIF($J$7:$J$35,$L$20)=0,"",COUNTIF($J$7:$J$35,$L$20))</f>
        <v>1</v>
      </c>
      <c r="N20" s="10"/>
      <c r="O20" s="10"/>
      <c r="P20" s="10"/>
      <c r="Q20" s="10"/>
      <c r="R20" s="10"/>
      <c r="S20" s="118">
        <v>16</v>
      </c>
      <c r="T20" s="167" t="s">
        <v>29</v>
      </c>
      <c r="U20" s="118" t="str">
        <f>V20&amp;": "&amp;COUNTIF(V$5:V20,V20)</f>
        <v>Lucy Family: 3</v>
      </c>
      <c r="V20" s="118" t="s">
        <v>40</v>
      </c>
      <c r="W20" s="118">
        <v>16</v>
      </c>
      <c r="X20" s="167" t="s">
        <v>29</v>
      </c>
      <c r="Y20" s="48"/>
      <c r="AD20" s="34"/>
    </row>
    <row r="21" spans="1:30" ht="16" thickBot="1" x14ac:dyDescent="0.4">
      <c r="A21" s="15">
        <v>15</v>
      </c>
      <c r="B21" s="184" t="str">
        <f>IFERROR(VLOOKUP($L$5&amp;": "&amp;$A21,Family!U19:'Family'!X114,3,0),"")</f>
        <v/>
      </c>
      <c r="C21" s="13" t="str">
        <f>IFERROR(VLOOKUP($B21,Family!S19:'Family'!$X$100,2,0),"")</f>
        <v/>
      </c>
      <c r="D21" s="13" t="str">
        <f>IFERROR(VLOOKUP($B21,Record!$B$8:'Record'!$Y$100,8,0),"")</f>
        <v/>
      </c>
      <c r="E21" s="13" t="str">
        <f>IFERROR(VLOOKUP($B21,Record!$B$8:'Record'!$Y$100,3,0),"")</f>
        <v/>
      </c>
      <c r="F21" s="13" t="str">
        <f>IFERROR(VLOOKUP($B21,Record!$B$8:'Record'!$Y$100,6,0),"")</f>
        <v/>
      </c>
      <c r="G21" s="13" t="str">
        <f>IFERROR(VLOOKUP($B21,Record!$B$8:'Record'!XC$100,7,0),"")</f>
        <v/>
      </c>
      <c r="H21" s="56" t="str">
        <f>IFERROR(VLOOKUP($B21,Record!$B$8:'Record'!$Y$100,4,0),"")</f>
        <v/>
      </c>
      <c r="I21" s="217" t="str">
        <f>IFERROR(VLOOKUP($B21,Record!$B$8:'Record'!$Y$100,13,0),"")</f>
        <v/>
      </c>
      <c r="J21" s="181" t="str">
        <f>IFERROR(VLOOKUP($B21,Record!$B$8:'Record'!$Y$100,11,0),"")</f>
        <v/>
      </c>
      <c r="K21" s="15">
        <f>IF(COUNTIF(D$7:$D21,D21)=1,1,0)</f>
        <v>0</v>
      </c>
      <c r="L21" s="190" t="s">
        <v>133</v>
      </c>
      <c r="M21" s="191" t="str">
        <f>IF(COUNTIF($J$7:$J$35,$L$21)=0,"",COUNTIF($J$7:$J$35,$L$21))</f>
        <v/>
      </c>
      <c r="N21" s="10"/>
      <c r="O21" s="10"/>
      <c r="P21" s="10"/>
      <c r="Q21" s="10"/>
      <c r="R21" s="10"/>
      <c r="S21" s="118">
        <v>17</v>
      </c>
      <c r="T21" s="167" t="s">
        <v>32</v>
      </c>
      <c r="U21" s="118" t="str">
        <f>V21&amp;": "&amp;COUNTIF(V$5:V21,V21)</f>
        <v>Toni Ann Family: 2</v>
      </c>
      <c r="V21" s="118" t="s">
        <v>37</v>
      </c>
      <c r="W21" s="118">
        <v>17</v>
      </c>
      <c r="X21" s="167" t="s">
        <v>32</v>
      </c>
      <c r="Y21" s="48"/>
      <c r="AD21" s="34"/>
    </row>
    <row r="22" spans="1:30" x14ac:dyDescent="0.35">
      <c r="A22" s="15">
        <v>16</v>
      </c>
      <c r="B22" s="184" t="str">
        <f>IFERROR(VLOOKUP($L$5&amp;": "&amp;$A22,Family!U20:'Family'!X115,3,0),"")</f>
        <v/>
      </c>
      <c r="C22" s="13" t="str">
        <f>IFERROR(VLOOKUP($B22,Family!S20:'Family'!$X$100,2,0),"")</f>
        <v/>
      </c>
      <c r="D22" s="13" t="str">
        <f>IFERROR(VLOOKUP($B22,Record!$B$8:'Record'!$Y$100,8,0),"")</f>
        <v/>
      </c>
      <c r="E22" s="13" t="str">
        <f>IFERROR(VLOOKUP($B22,Record!$B$8:'Record'!$Y$100,3,0),"")</f>
        <v/>
      </c>
      <c r="F22" s="13" t="str">
        <f>IFERROR(VLOOKUP($B22,Record!$B$8:'Record'!$Y$100,6,0),"")</f>
        <v/>
      </c>
      <c r="G22" s="13" t="str">
        <f>IFERROR(VLOOKUP($B22,Record!$B$8:'Record'!XC$100,7,0),"")</f>
        <v/>
      </c>
      <c r="H22" s="56" t="str">
        <f>IFERROR(VLOOKUP($B22,Record!$B$8:'Record'!$Y$100,4,0),"")</f>
        <v/>
      </c>
      <c r="I22" s="217" t="str">
        <f>IFERROR(VLOOKUP($B22,Record!$B$8:'Record'!$Y$100,13,0),"")</f>
        <v/>
      </c>
      <c r="J22" s="181" t="str">
        <f>IFERROR(VLOOKUP($B22,Record!$B$8:'Record'!$Y$100,11,0),"")</f>
        <v/>
      </c>
      <c r="K22" s="15">
        <f>IF(COUNTIF(D$7:$D22,D22)=1,1,0)</f>
        <v>0</v>
      </c>
      <c r="L22" s="10"/>
      <c r="M22" s="10"/>
      <c r="N22" s="10"/>
      <c r="O22" s="10"/>
      <c r="P22" s="10"/>
      <c r="Q22" s="10"/>
      <c r="R22" s="10"/>
      <c r="S22" s="118">
        <v>18</v>
      </c>
      <c r="T22" s="167" t="s">
        <v>33</v>
      </c>
      <c r="U22" s="118" t="str">
        <f>V22&amp;": "&amp;COUNTIF(V$5:V22,V22)</f>
        <v>Zozibini Family: 3</v>
      </c>
      <c r="V22" s="118" t="s">
        <v>38</v>
      </c>
      <c r="W22" s="118">
        <v>18</v>
      </c>
      <c r="X22" s="167" t="s">
        <v>33</v>
      </c>
      <c r="Y22" s="48"/>
      <c r="AD22" s="34"/>
    </row>
    <row r="23" spans="1:30" x14ac:dyDescent="0.35">
      <c r="A23" s="15">
        <v>32</v>
      </c>
      <c r="B23" s="184" t="str">
        <f>IFERROR(VLOOKUP($L$5&amp;": "&amp;$A23,Family!U21:'Family'!X116,3,0),"")</f>
        <v/>
      </c>
      <c r="C23" s="13" t="str">
        <f>IFERROR(VLOOKUP($B23,Family!S21:'Family'!$X$100,2,0),"")</f>
        <v/>
      </c>
      <c r="D23" s="13" t="str">
        <f>IFERROR(VLOOKUP($B23,Record!$B$8:'Record'!$Y$100,8,0),"")</f>
        <v/>
      </c>
      <c r="E23" s="13" t="str">
        <f>IFERROR(VLOOKUP($B23,Record!$B$8:'Record'!$Y$100,3,0),"")</f>
        <v/>
      </c>
      <c r="F23" s="13" t="str">
        <f>IFERROR(VLOOKUP($B23,Record!$B$8:'Record'!$Y$100,6,0),"")</f>
        <v/>
      </c>
      <c r="G23" s="13" t="str">
        <f>IFERROR(VLOOKUP($B23,Record!$B$8:'Record'!XC$100,7,0),"")</f>
        <v/>
      </c>
      <c r="H23" s="56" t="str">
        <f>IFERROR(VLOOKUP($B23,Record!$B$8:'Record'!$Y$100,4,0),"")</f>
        <v/>
      </c>
      <c r="I23" s="217" t="str">
        <f>IFERROR(VLOOKUP($B23,Record!$B$8:'Record'!$Y$100,13,0),"")</f>
        <v/>
      </c>
      <c r="J23" s="181" t="str">
        <f>IFERROR(VLOOKUP($B23,Record!$B$8:'Record'!$Y$100,11,0),"")</f>
        <v/>
      </c>
      <c r="K23" s="15">
        <f>IF(COUNTIF(D$7:$D23,D23)=1,1,0)</f>
        <v>0</v>
      </c>
      <c r="L23" s="10"/>
      <c r="M23" s="10"/>
      <c r="N23" s="10"/>
      <c r="O23" s="10"/>
      <c r="P23" s="10"/>
      <c r="Q23" s="10"/>
      <c r="R23" s="10"/>
      <c r="S23" s="118">
        <v>19</v>
      </c>
      <c r="T23" s="167" t="s">
        <v>34</v>
      </c>
      <c r="U23" s="118" t="str">
        <f>V23&amp;": "&amp;COUNTIF(V$5:V23,V23)</f>
        <v>Zozibini Family: 4</v>
      </c>
      <c r="V23" s="118" t="s">
        <v>38</v>
      </c>
      <c r="W23" s="118">
        <v>19</v>
      </c>
      <c r="X23" s="167" t="s">
        <v>34</v>
      </c>
      <c r="Y23" s="34"/>
      <c r="AD23" s="34"/>
    </row>
    <row r="24" spans="1:30" x14ac:dyDescent="0.35">
      <c r="A24" s="15">
        <v>33</v>
      </c>
      <c r="B24" s="184" t="str">
        <f>IFERROR(VLOOKUP($L$5&amp;": "&amp;$A24,Family!U22:'Family'!X117,3,0),"")</f>
        <v/>
      </c>
      <c r="C24" s="13" t="str">
        <f>IFERROR(VLOOKUP($B24,Family!S22:'Family'!$X$100,2,0),"")</f>
        <v/>
      </c>
      <c r="D24" s="13" t="str">
        <f>IFERROR(VLOOKUP($B24,Record!$B$8:'Record'!$Y$100,8,0),"")</f>
        <v/>
      </c>
      <c r="E24" s="13" t="str">
        <f>IFERROR(VLOOKUP($B24,Record!$B$8:'Record'!$Y$100,3,0),"")</f>
        <v/>
      </c>
      <c r="F24" s="13" t="str">
        <f>IFERROR(VLOOKUP($B24,Record!$B$8:'Record'!$Y$100,6,0),"")</f>
        <v/>
      </c>
      <c r="G24" s="13" t="str">
        <f>IFERROR(VLOOKUP($B24,Record!$B$8:'Record'!XC$100,7,0),"")</f>
        <v/>
      </c>
      <c r="H24" s="56" t="str">
        <f>IFERROR(VLOOKUP($B24,Record!$B$8:'Record'!$Y$100,4,0),"")</f>
        <v/>
      </c>
      <c r="I24" s="217" t="str">
        <f>IFERROR(VLOOKUP($B24,Record!$B$8:'Record'!$Y$100,13,0),"")</f>
        <v/>
      </c>
      <c r="J24" s="181" t="str">
        <f>IFERROR(VLOOKUP($B24,Record!$B$8:'Record'!$Y$100,11,0),"")</f>
        <v/>
      </c>
      <c r="K24" s="15">
        <f>IF(COUNTIF(D$7:$D24,D24)=1,1,0)</f>
        <v>0</v>
      </c>
      <c r="L24" s="10"/>
      <c r="M24" s="10"/>
      <c r="N24" s="10"/>
      <c r="O24" s="10"/>
      <c r="P24" s="10"/>
      <c r="Q24" s="10"/>
      <c r="R24" s="10"/>
      <c r="S24" s="118">
        <v>20</v>
      </c>
      <c r="T24" s="167" t="s">
        <v>57</v>
      </c>
      <c r="U24" s="118" t="str">
        <f>V24&amp;": "&amp;COUNTIF(V$5:V24,V24)</f>
        <v>Apache Family: 1</v>
      </c>
      <c r="V24" s="118" t="s">
        <v>63</v>
      </c>
      <c r="W24" s="118">
        <v>20</v>
      </c>
      <c r="X24" s="167" t="s">
        <v>57</v>
      </c>
      <c r="Y24" s="34"/>
    </row>
    <row r="25" spans="1:30" x14ac:dyDescent="0.35">
      <c r="A25" s="15">
        <v>34</v>
      </c>
      <c r="B25" s="184" t="str">
        <f>IFERROR(VLOOKUP($L$5&amp;": "&amp;$A25,Family!U23:'Family'!X118,3,0),"")</f>
        <v/>
      </c>
      <c r="C25" s="13" t="str">
        <f>IFERROR(VLOOKUP($B25,Family!S23:'Family'!$X$100,2,0),"")</f>
        <v/>
      </c>
      <c r="D25" s="13" t="str">
        <f>IFERROR(VLOOKUP($B25,Record!$B$8:'Record'!$Y$100,8,0),"")</f>
        <v/>
      </c>
      <c r="E25" s="13" t="str">
        <f>IFERROR(VLOOKUP($B25,Record!$B$8:'Record'!$Y$100,3,0),"")</f>
        <v/>
      </c>
      <c r="F25" s="13" t="str">
        <f>IFERROR(VLOOKUP($B25,Record!$B$8:'Record'!$Y$100,6,0),"")</f>
        <v/>
      </c>
      <c r="G25" s="13" t="str">
        <f>IFERROR(VLOOKUP($B25,Record!$B$8:'Record'!XC$100,7,0),"")</f>
        <v/>
      </c>
      <c r="H25" s="56" t="str">
        <f>IFERROR(VLOOKUP($B25,Record!$B$8:'Record'!$Y$100,4,0),"")</f>
        <v/>
      </c>
      <c r="I25" s="217" t="str">
        <f>IFERROR(VLOOKUP($B25,Record!$B$8:'Record'!$Y$100,13,0),"")</f>
        <v/>
      </c>
      <c r="J25" s="181" t="str">
        <f>IFERROR(VLOOKUP($B25,Record!$B$8:'Record'!$Y$100,11,0),"")</f>
        <v/>
      </c>
      <c r="K25" s="15">
        <f>IF(COUNTIF(D$7:$D25,D25)=1,1,0)</f>
        <v>0</v>
      </c>
      <c r="L25" s="10"/>
      <c r="M25" s="10"/>
      <c r="N25" s="10"/>
      <c r="O25" s="10"/>
      <c r="P25" s="10"/>
      <c r="Q25" s="10"/>
      <c r="R25" s="10"/>
      <c r="S25" s="118">
        <v>21</v>
      </c>
      <c r="T25" s="167" t="s">
        <v>58</v>
      </c>
      <c r="U25" s="118" t="str">
        <f>V25&amp;": "&amp;COUNTIF(V$5:V25,V25)</f>
        <v>Tong-D Family: 1</v>
      </c>
      <c r="V25" s="118" t="s">
        <v>64</v>
      </c>
      <c r="W25" s="118">
        <v>21</v>
      </c>
      <c r="X25" s="167" t="s">
        <v>58</v>
      </c>
      <c r="Y25" s="34"/>
    </row>
    <row r="26" spans="1:30" x14ac:dyDescent="0.35">
      <c r="A26" s="15">
        <v>35</v>
      </c>
      <c r="B26" s="184" t="str">
        <f>IFERROR(VLOOKUP($L$5&amp;": "&amp;$A26,Family!U24:'Family'!X119,3,0),"")</f>
        <v/>
      </c>
      <c r="C26" s="13" t="str">
        <f>IFERROR(VLOOKUP($B26,Family!S24:'Family'!$X$100,2,0),"")</f>
        <v/>
      </c>
      <c r="D26" s="13" t="str">
        <f>IFERROR(VLOOKUP($B26,Record!$B$8:'Record'!$Y$100,8,0),"")</f>
        <v/>
      </c>
      <c r="E26" s="13" t="str">
        <f>IFERROR(VLOOKUP($B26,Record!$B$8:'Record'!$Y$100,3,0),"")</f>
        <v/>
      </c>
      <c r="F26" s="13" t="str">
        <f>IFERROR(VLOOKUP($B26,Record!$B$8:'Record'!$Y$100,6,0),"")</f>
        <v/>
      </c>
      <c r="G26" s="13" t="str">
        <f>IFERROR(VLOOKUP($B26,Record!$B$8:'Record'!XC$100,7,0),"")</f>
        <v/>
      </c>
      <c r="H26" s="56" t="str">
        <f>IFERROR(VLOOKUP($B26,Record!$B$8:'Record'!$Y$100,4,0),"")</f>
        <v/>
      </c>
      <c r="I26" s="217" t="str">
        <f>IFERROR(VLOOKUP($B26,Record!$B$8:'Record'!$Y$100,13,0),"")</f>
        <v/>
      </c>
      <c r="J26" s="181" t="str">
        <f>IFERROR(VLOOKUP($B26,Record!$B$8:'Record'!$Y$100,11,0),"")</f>
        <v/>
      </c>
      <c r="K26" s="15">
        <f>IF(COUNTIF(D$7:$D26,D26)=1,1,0)</f>
        <v>0</v>
      </c>
      <c r="L26" s="10"/>
      <c r="M26" s="10"/>
      <c r="N26" s="10"/>
      <c r="O26" s="10"/>
      <c r="P26" s="10"/>
      <c r="Q26" s="10"/>
      <c r="R26" s="10"/>
      <c r="S26" s="118">
        <v>22</v>
      </c>
      <c r="T26" s="167" t="s">
        <v>61</v>
      </c>
      <c r="U26" s="118" t="str">
        <f>V26&amp;": "&amp;COUNTIF(V$5:V26,V26)</f>
        <v>Lady-Pink Family: 1</v>
      </c>
      <c r="V26" s="118" t="s">
        <v>65</v>
      </c>
      <c r="W26" s="118">
        <v>22</v>
      </c>
      <c r="X26" s="167" t="s">
        <v>61</v>
      </c>
      <c r="Y26" s="34"/>
    </row>
    <row r="27" spans="1:30" x14ac:dyDescent="0.35">
      <c r="A27" s="15">
        <v>36</v>
      </c>
      <c r="B27" s="184" t="str">
        <f>IFERROR(VLOOKUP($L$5&amp;": "&amp;$A27,Family!U25:'Family'!X120,3,0),"")</f>
        <v/>
      </c>
      <c r="C27" s="13" t="str">
        <f>IFERROR(VLOOKUP($B27,Family!S25:'Family'!$X$100,2,0),"")</f>
        <v/>
      </c>
      <c r="D27" s="13" t="str">
        <f>IFERROR(VLOOKUP($B27,Record!$B$8:'Record'!$Y$100,8,0),"")</f>
        <v/>
      </c>
      <c r="E27" s="13" t="str">
        <f>IFERROR(VLOOKUP($B27,Record!$B$8:'Record'!$Y$100,3,0),"")</f>
        <v/>
      </c>
      <c r="F27" s="13" t="str">
        <f>IFERROR(VLOOKUP($B27,Record!$B$8:'Record'!$Y$100,6,0),"")</f>
        <v/>
      </c>
      <c r="G27" s="13" t="str">
        <f>IFERROR(VLOOKUP($B27,Record!$B$8:'Record'!XC$100,7,0),"")</f>
        <v/>
      </c>
      <c r="H27" s="56" t="str">
        <f>IFERROR(VLOOKUP($B27,Record!$B$8:'Record'!$Y$100,4,0),"")</f>
        <v/>
      </c>
      <c r="I27" s="217" t="str">
        <f>IFERROR(VLOOKUP($B27,Record!$B$8:'Record'!$Y$100,13,0),"")</f>
        <v/>
      </c>
      <c r="J27" s="181" t="str">
        <f>IFERROR(VLOOKUP($B27,Record!$B$8:'Record'!$Y$100,11,0),"")</f>
        <v/>
      </c>
      <c r="K27" s="15">
        <f>IF(COUNTIF(D$7:$D27,D27)=1,1,0)</f>
        <v>0</v>
      </c>
      <c r="L27" s="10"/>
      <c r="M27" s="10"/>
      <c r="N27" s="10"/>
      <c r="O27" s="10"/>
      <c r="P27" s="10"/>
      <c r="Q27" s="10"/>
      <c r="R27" s="10"/>
      <c r="S27" s="118">
        <v>23</v>
      </c>
      <c r="T27" s="118" t="s">
        <v>60</v>
      </c>
      <c r="U27" s="118" t="str">
        <f>V27&amp;": "&amp;COUNTIF(V$5:V27,V27)</f>
        <v>Cle-O Family: 1</v>
      </c>
      <c r="V27" s="118" t="s">
        <v>67</v>
      </c>
      <c r="W27" s="118">
        <v>23</v>
      </c>
      <c r="X27" s="118" t="s">
        <v>60</v>
      </c>
      <c r="Y27" s="34"/>
    </row>
    <row r="28" spans="1:30" x14ac:dyDescent="0.35">
      <c r="A28" s="15">
        <v>37</v>
      </c>
      <c r="B28" s="184" t="str">
        <f>IFERROR(VLOOKUP($L$5&amp;": "&amp;$A28,Family!U26:'Family'!X121,3,0),"")</f>
        <v/>
      </c>
      <c r="C28" s="13" t="str">
        <f>IFERROR(VLOOKUP($B28,Family!S26:'Family'!$X$100,2,0),"")</f>
        <v/>
      </c>
      <c r="D28" s="13" t="str">
        <f>IFERROR(VLOOKUP($B28,Record!$B$8:'Record'!$Y$100,8,0),"")</f>
        <v/>
      </c>
      <c r="E28" s="13" t="str">
        <f>IFERROR(VLOOKUP($B28,Record!$B$8:'Record'!$Y$100,3,0),"")</f>
        <v/>
      </c>
      <c r="F28" s="13" t="str">
        <f>IFERROR(VLOOKUP($B28,Record!$B$8:'Record'!$Y$100,6,0),"")</f>
        <v/>
      </c>
      <c r="G28" s="13" t="str">
        <f>IFERROR(VLOOKUP($B28,Record!$B$8:'Record'!XC$100,7,0),"")</f>
        <v/>
      </c>
      <c r="H28" s="56" t="str">
        <f>IFERROR(VLOOKUP($B28,Record!$B$8:'Record'!$Y$100,4,0),"")</f>
        <v/>
      </c>
      <c r="I28" s="217" t="str">
        <f>IFERROR(VLOOKUP($B28,Record!$B$8:'Record'!$Y$100,13,0),"")</f>
        <v/>
      </c>
      <c r="J28" s="181" t="str">
        <f>IFERROR(VLOOKUP($B28,Record!$B$8:'Record'!$Y$100,11,0),"")</f>
        <v/>
      </c>
      <c r="K28" s="15">
        <f>IF(COUNTIF(D$7:$D28,D28)=1,1,0)</f>
        <v>0</v>
      </c>
      <c r="L28" s="10"/>
      <c r="M28" s="10"/>
      <c r="N28" s="10"/>
      <c r="O28" s="10"/>
      <c r="P28" s="10"/>
      <c r="Q28" s="10"/>
      <c r="R28" s="10"/>
      <c r="S28" s="118">
        <v>24</v>
      </c>
      <c r="T28" s="167" t="s">
        <v>59</v>
      </c>
      <c r="U28" s="118" t="str">
        <f>V28&amp;": "&amp;COUNTIF(V$5:V28,V28)</f>
        <v>O-Reo Family: 1</v>
      </c>
      <c r="V28" s="118" t="s">
        <v>66</v>
      </c>
      <c r="W28" s="118">
        <v>24</v>
      </c>
      <c r="X28" s="167" t="s">
        <v>59</v>
      </c>
      <c r="Y28" s="34"/>
    </row>
    <row r="29" spans="1:30" ht="16" thickBot="1" x14ac:dyDescent="0.4">
      <c r="A29" s="15">
        <v>38</v>
      </c>
      <c r="B29" s="185" t="str">
        <f>IFERROR(VLOOKUP($L$5&amp;": "&amp;$A29,Family!U27:'Family'!X122,3,0),"")</f>
        <v/>
      </c>
      <c r="C29" s="14" t="str">
        <f>IFERROR(VLOOKUP($B29,Family!S27:'Family'!$X$100,2,0),"")</f>
        <v/>
      </c>
      <c r="D29" s="14" t="str">
        <f>IFERROR(VLOOKUP($B29,Record!$B$8:'Record'!$Y$100,8,0),"")</f>
        <v/>
      </c>
      <c r="E29" s="14" t="str">
        <f>IFERROR(VLOOKUP($B29,Record!$B$8:'Record'!$Y$100,3,0),"")</f>
        <v/>
      </c>
      <c r="F29" s="14" t="str">
        <f>IFERROR(VLOOKUP($B29,Record!$B$8:'Record'!$Y$100,6,0),"")</f>
        <v/>
      </c>
      <c r="G29" s="14" t="str">
        <f>IFERROR(VLOOKUP($B29,Record!$B$8:'Record'!XC$100,7,0),"")</f>
        <v/>
      </c>
      <c r="H29" s="68" t="str">
        <f>IFERROR(VLOOKUP($B29,Record!$B$8:'Record'!$Y$100,4,0),"")</f>
        <v/>
      </c>
      <c r="I29" s="218" t="str">
        <f>IFERROR(VLOOKUP($B29,Record!$B$8:'Record'!$Y$100,13,0),"")</f>
        <v/>
      </c>
      <c r="J29" s="182" t="str">
        <f>IFERROR(VLOOKUP($B29,Record!$B$8:'Record'!$Y$100,11,0),"")</f>
        <v/>
      </c>
      <c r="K29" s="15">
        <f>IF(COUNTIF(D$7:$D29,D29)=1,1,0)</f>
        <v>0</v>
      </c>
      <c r="L29" s="10"/>
      <c r="M29" s="10"/>
      <c r="N29" s="10"/>
      <c r="O29" s="10"/>
      <c r="P29" s="10"/>
      <c r="Q29" s="10"/>
      <c r="R29" s="10"/>
      <c r="S29" s="118">
        <v>25</v>
      </c>
      <c r="T29" s="167" t="s">
        <v>71</v>
      </c>
      <c r="U29" s="118" t="str">
        <f>V29&amp;": "&amp;COUNTIF(V$5:V29,V29)</f>
        <v>Hope Family: 3</v>
      </c>
      <c r="V29" s="118" t="s">
        <v>42</v>
      </c>
      <c r="W29" s="118">
        <v>25</v>
      </c>
      <c r="X29" s="167" t="s">
        <v>71</v>
      </c>
      <c r="Y29" s="34"/>
    </row>
    <row r="30" spans="1:30" x14ac:dyDescent="0.35">
      <c r="B30"/>
      <c r="F30"/>
      <c r="G30"/>
      <c r="H30"/>
      <c r="I30"/>
      <c r="M30"/>
      <c r="Q30"/>
      <c r="S30" s="118">
        <v>26</v>
      </c>
      <c r="T30" s="167" t="s">
        <v>83</v>
      </c>
      <c r="U30" s="118" t="str">
        <f>V30&amp;": "&amp;COUNTIF(V$5:V30,V30)</f>
        <v>Mary Family: 4</v>
      </c>
      <c r="V30" s="118" t="s">
        <v>41</v>
      </c>
      <c r="W30" s="118">
        <v>26</v>
      </c>
      <c r="X30" s="167" t="s">
        <v>83</v>
      </c>
      <c r="Y30" s="34"/>
    </row>
    <row r="31" spans="1:30" x14ac:dyDescent="0.35">
      <c r="B31"/>
      <c r="F31"/>
      <c r="G31"/>
      <c r="H31"/>
      <c r="I31"/>
      <c r="M31"/>
      <c r="Q31"/>
      <c r="S31" s="118">
        <v>27</v>
      </c>
      <c r="T31" s="167" t="s">
        <v>84</v>
      </c>
      <c r="U31" s="118" t="str">
        <f>V31&amp;": "&amp;COUNTIF(V$5:V31,V31)</f>
        <v>Mary Family: 5</v>
      </c>
      <c r="V31" s="118" t="s">
        <v>41</v>
      </c>
      <c r="W31" s="118">
        <v>27</v>
      </c>
      <c r="X31" s="167" t="s">
        <v>84</v>
      </c>
      <c r="Y31" s="34"/>
    </row>
    <row r="32" spans="1:30" x14ac:dyDescent="0.35">
      <c r="B32"/>
      <c r="F32"/>
      <c r="G32"/>
      <c r="H32"/>
      <c r="I32"/>
      <c r="M32"/>
      <c r="Q32"/>
      <c r="S32" s="168">
        <v>28</v>
      </c>
      <c r="T32" s="169" t="s">
        <v>102</v>
      </c>
      <c r="U32" s="118" t="str">
        <f>V32&amp;": "&amp;COUNTIF(V$5:V32,V32)</f>
        <v>Lisa Family: 3</v>
      </c>
      <c r="V32" s="168" t="s">
        <v>39</v>
      </c>
      <c r="W32" s="168">
        <v>28</v>
      </c>
      <c r="X32" s="169" t="s">
        <v>102</v>
      </c>
      <c r="Y32" s="34"/>
    </row>
    <row r="33" spans="2:25" x14ac:dyDescent="0.35">
      <c r="B33"/>
      <c r="F33"/>
      <c r="G33"/>
      <c r="H33"/>
      <c r="I33"/>
      <c r="M33"/>
      <c r="Q33"/>
      <c r="S33" s="118">
        <v>29</v>
      </c>
      <c r="T33" s="167" t="s">
        <v>104</v>
      </c>
      <c r="U33" s="118" t="str">
        <f>V33&amp;": "&amp;COUNTIF(V$5:V33,V33)</f>
        <v>Hope Family: 4</v>
      </c>
      <c r="V33" s="118" t="s">
        <v>42</v>
      </c>
      <c r="W33" s="118">
        <v>29</v>
      </c>
      <c r="X33" s="167" t="s">
        <v>104</v>
      </c>
      <c r="Y33" s="48"/>
    </row>
    <row r="34" spans="2:25" x14ac:dyDescent="0.35">
      <c r="B34"/>
      <c r="F34"/>
      <c r="G34"/>
      <c r="H34"/>
      <c r="I34"/>
      <c r="S34" s="118">
        <v>30</v>
      </c>
      <c r="T34" s="167" t="s">
        <v>106</v>
      </c>
      <c r="U34" s="118" t="str">
        <f>V34&amp;": "&amp;COUNTIF(V$5:V34,V34)</f>
        <v>Natasha Family: 3</v>
      </c>
      <c r="V34" s="118" t="s">
        <v>53</v>
      </c>
      <c r="W34" s="118">
        <v>30</v>
      </c>
      <c r="X34" s="167" t="s">
        <v>106</v>
      </c>
      <c r="Y34" s="48"/>
    </row>
    <row r="35" spans="2:25" x14ac:dyDescent="0.35">
      <c r="B35"/>
      <c r="F35"/>
      <c r="G35"/>
      <c r="H35"/>
      <c r="I35"/>
      <c r="S35" s="118">
        <v>31</v>
      </c>
      <c r="T35" s="167" t="s">
        <v>107</v>
      </c>
      <c r="U35" s="118" t="str">
        <f>V35&amp;": "&amp;COUNTIF(V$5:V35,V35)</f>
        <v>Lady-Pink Family: 2</v>
      </c>
      <c r="V35" s="118" t="s">
        <v>65</v>
      </c>
      <c r="W35" s="118">
        <v>31</v>
      </c>
      <c r="X35" s="167" t="s">
        <v>107</v>
      </c>
      <c r="Y35" s="48"/>
    </row>
    <row r="36" spans="2:25" x14ac:dyDescent="0.35">
      <c r="B36"/>
      <c r="F36"/>
      <c r="G36"/>
      <c r="H36"/>
      <c r="I36"/>
      <c r="S36" s="118">
        <v>32</v>
      </c>
      <c r="T36" s="167" t="s">
        <v>108</v>
      </c>
      <c r="U36" s="118" t="str">
        <f>V36&amp;": "&amp;COUNTIF(V$5:V36,V36)</f>
        <v>Cle-O Family: 2</v>
      </c>
      <c r="V36" s="118" t="s">
        <v>67</v>
      </c>
      <c r="W36" s="118">
        <v>32</v>
      </c>
      <c r="X36" s="167" t="s">
        <v>108</v>
      </c>
      <c r="Y36" s="48"/>
    </row>
    <row r="37" spans="2:25" x14ac:dyDescent="0.35">
      <c r="B37"/>
      <c r="F37"/>
      <c r="G37"/>
      <c r="H37"/>
      <c r="I37"/>
      <c r="S37" s="118">
        <v>33</v>
      </c>
      <c r="T37" s="167" t="s">
        <v>109</v>
      </c>
      <c r="U37" s="118" t="str">
        <f>V37&amp;": "&amp;COUNTIF(V$5:V37,V37)</f>
        <v>O-Reo Family: 2</v>
      </c>
      <c r="V37" s="118" t="s">
        <v>66</v>
      </c>
      <c r="W37" s="118">
        <v>33</v>
      </c>
      <c r="X37" s="167" t="s">
        <v>109</v>
      </c>
    </row>
    <row r="38" spans="2:25" x14ac:dyDescent="0.35">
      <c r="B38"/>
      <c r="F38"/>
      <c r="G38"/>
      <c r="H38"/>
      <c r="I38"/>
      <c r="S38" s="118">
        <v>34</v>
      </c>
      <c r="T38" s="167" t="s">
        <v>118</v>
      </c>
      <c r="U38" s="118" t="str">
        <f>V38&amp;": "&amp;COUNTIF(V$5:V38,V38)</f>
        <v>Lisa Family: 4</v>
      </c>
      <c r="V38" s="118" t="s">
        <v>39</v>
      </c>
      <c r="W38" s="118">
        <v>34</v>
      </c>
      <c r="X38" s="167" t="s">
        <v>118</v>
      </c>
      <c r="Y38" s="48"/>
    </row>
    <row r="39" spans="2:25" x14ac:dyDescent="0.35">
      <c r="B39"/>
      <c r="F39"/>
      <c r="G39"/>
      <c r="H39"/>
      <c r="I39"/>
      <c r="S39" s="118">
        <v>35</v>
      </c>
      <c r="T39" s="118" t="s">
        <v>111</v>
      </c>
      <c r="U39" s="118" t="str">
        <f>V39&amp;": "&amp;COUNTIF(V$5:V39,V39)</f>
        <v>Namtarn Family: 1</v>
      </c>
      <c r="V39" s="118" t="s">
        <v>114</v>
      </c>
      <c r="W39" s="118">
        <v>35</v>
      </c>
      <c r="X39" s="118" t="s">
        <v>111</v>
      </c>
      <c r="Y39" s="48"/>
    </row>
    <row r="40" spans="2:25" x14ac:dyDescent="0.35">
      <c r="B40"/>
      <c r="F40"/>
      <c r="G40"/>
      <c r="H40"/>
      <c r="I40"/>
      <c r="S40" s="118">
        <v>36</v>
      </c>
      <c r="T40" s="167" t="s">
        <v>110</v>
      </c>
      <c r="U40" s="118" t="str">
        <f>V40&amp;": "&amp;COUNTIF(V$5:V40,V40)</f>
        <v>Bo Bo Family: 1</v>
      </c>
      <c r="V40" s="118" t="s">
        <v>113</v>
      </c>
      <c r="W40" s="118">
        <v>36</v>
      </c>
      <c r="X40" s="167" t="s">
        <v>110</v>
      </c>
      <c r="Y40" s="48"/>
    </row>
    <row r="41" spans="2:25" x14ac:dyDescent="0.35">
      <c r="B41"/>
      <c r="F41"/>
      <c r="G41"/>
      <c r="H41"/>
      <c r="I41"/>
      <c r="S41" s="118">
        <v>37</v>
      </c>
      <c r="T41" s="167" t="s">
        <v>115</v>
      </c>
      <c r="U41" s="118" t="str">
        <f>V41&amp;": "&amp;COUNTIF(V$5:V41,V41)</f>
        <v>Natasha Family: 4</v>
      </c>
      <c r="V41" s="118" t="s">
        <v>53</v>
      </c>
      <c r="W41" s="118">
        <v>37</v>
      </c>
      <c r="X41" s="167" t="s">
        <v>115</v>
      </c>
      <c r="Y41" s="48"/>
    </row>
    <row r="42" spans="2:25" x14ac:dyDescent="0.35">
      <c r="B42"/>
      <c r="F42"/>
      <c r="G42"/>
      <c r="H42"/>
      <c r="I42"/>
      <c r="S42" s="118">
        <v>38</v>
      </c>
      <c r="T42" s="167" t="s">
        <v>117</v>
      </c>
      <c r="U42" s="118" t="str">
        <f>V42&amp;": "&amp;COUNTIF(V$5:V42,V42)</f>
        <v>Tong-D Family: 2</v>
      </c>
      <c r="V42" s="118" t="s">
        <v>64</v>
      </c>
      <c r="W42" s="118">
        <v>38</v>
      </c>
      <c r="X42" s="167" t="s">
        <v>117</v>
      </c>
      <c r="Y42" s="48"/>
    </row>
    <row r="43" spans="2:25" x14ac:dyDescent="0.35">
      <c r="B43"/>
      <c r="F43"/>
      <c r="G43"/>
      <c r="H43"/>
      <c r="I43"/>
      <c r="S43" s="118">
        <v>39</v>
      </c>
      <c r="T43" s="167" t="s">
        <v>119</v>
      </c>
      <c r="U43" s="118" t="str">
        <f>V43&amp;": "&amp;COUNTIF(V$5:V43,V43)</f>
        <v>Apache Family: 2</v>
      </c>
      <c r="V43" s="118" t="s">
        <v>63</v>
      </c>
      <c r="W43" s="118">
        <v>39</v>
      </c>
      <c r="X43" s="167" t="s">
        <v>119</v>
      </c>
      <c r="Y43" s="48"/>
    </row>
    <row r="44" spans="2:25" x14ac:dyDescent="0.35">
      <c r="B44"/>
      <c r="F44"/>
      <c r="G44"/>
      <c r="H44"/>
      <c r="I44"/>
      <c r="S44" s="118">
        <v>40</v>
      </c>
      <c r="T44" s="167" t="s">
        <v>120</v>
      </c>
      <c r="U44" s="118" t="str">
        <f>V44&amp;": "&amp;COUNTIF(V$5:V44,V44)</f>
        <v>Lisa Family: 5</v>
      </c>
      <c r="V44" s="118" t="s">
        <v>39</v>
      </c>
      <c r="W44" s="118">
        <v>40</v>
      </c>
      <c r="X44" s="167" t="s">
        <v>120</v>
      </c>
      <c r="Y44" s="48"/>
    </row>
    <row r="45" spans="2:25" x14ac:dyDescent="0.35">
      <c r="B45"/>
      <c r="F45"/>
      <c r="G45"/>
      <c r="H45"/>
      <c r="I45"/>
      <c r="S45" s="118">
        <v>41</v>
      </c>
      <c r="T45" s="167" t="s">
        <v>121</v>
      </c>
      <c r="U45" s="118" t="str">
        <f>V45&amp;": "&amp;COUNTIF(V$5:V45,V45)</f>
        <v>Cle-O Family: 3</v>
      </c>
      <c r="V45" s="118" t="s">
        <v>67</v>
      </c>
      <c r="W45" s="118">
        <v>41</v>
      </c>
      <c r="X45" s="167" t="s">
        <v>121</v>
      </c>
      <c r="Y45" s="48"/>
    </row>
    <row r="46" spans="2:25" x14ac:dyDescent="0.35">
      <c r="B46"/>
      <c r="F46"/>
      <c r="G46"/>
      <c r="H46"/>
      <c r="I46"/>
      <c r="S46" s="118">
        <v>42</v>
      </c>
      <c r="T46" s="167" t="s">
        <v>122</v>
      </c>
      <c r="U46" s="118" t="str">
        <f>V46&amp;": "&amp;COUNTIF(V$5:V46,V46)</f>
        <v>Mary Family: 6</v>
      </c>
      <c r="V46" s="118" t="s">
        <v>41</v>
      </c>
      <c r="W46" s="118">
        <v>42</v>
      </c>
      <c r="X46" s="167" t="s">
        <v>122</v>
      </c>
      <c r="Y46" s="48"/>
    </row>
    <row r="47" spans="2:25" x14ac:dyDescent="0.35">
      <c r="B47"/>
      <c r="F47"/>
      <c r="G47"/>
      <c r="H47"/>
      <c r="I47"/>
      <c r="S47" s="168">
        <v>43</v>
      </c>
      <c r="T47" s="169" t="s">
        <v>123</v>
      </c>
      <c r="U47" s="118" t="str">
        <f>V47&amp;": "&amp;COUNTIF(V$5:V47,V47)</f>
        <v>Bo Bo Family: 2</v>
      </c>
      <c r="V47" s="168" t="s">
        <v>113</v>
      </c>
      <c r="W47" s="168">
        <v>43</v>
      </c>
      <c r="X47" s="169" t="s">
        <v>123</v>
      </c>
      <c r="Y47" s="48"/>
    </row>
    <row r="48" spans="2:25" x14ac:dyDescent="0.35">
      <c r="B48"/>
      <c r="F48"/>
      <c r="G48"/>
      <c r="H48"/>
      <c r="I48"/>
      <c r="S48" s="118">
        <v>44</v>
      </c>
      <c r="T48" s="167" t="s">
        <v>126</v>
      </c>
      <c r="U48" s="118" t="str">
        <f>V48&amp;": "&amp;COUNTIF(V$5:V48,V48)</f>
        <v>Mary Family: 7</v>
      </c>
      <c r="V48" s="118" t="s">
        <v>41</v>
      </c>
      <c r="W48" s="118">
        <v>44</v>
      </c>
      <c r="X48" s="167" t="s">
        <v>126</v>
      </c>
      <c r="Y48" s="48"/>
    </row>
    <row r="49" spans="2:25" x14ac:dyDescent="0.35">
      <c r="B49"/>
      <c r="F49"/>
      <c r="G49"/>
      <c r="H49"/>
      <c r="I49"/>
      <c r="S49" s="118">
        <v>45</v>
      </c>
      <c r="T49" s="167" t="s">
        <v>124</v>
      </c>
      <c r="U49" s="118" t="str">
        <f>V49&amp;": "&amp;COUNTIF(V$5:V49,V49)</f>
        <v>Lisa Family: 6</v>
      </c>
      <c r="V49" s="118" t="s">
        <v>39</v>
      </c>
      <c r="W49" s="118">
        <v>45</v>
      </c>
      <c r="X49" s="167" t="s">
        <v>124</v>
      </c>
      <c r="Y49" s="48"/>
    </row>
    <row r="50" spans="2:25" x14ac:dyDescent="0.35">
      <c r="B50"/>
      <c r="F50"/>
      <c r="G50"/>
      <c r="H50"/>
      <c r="I50"/>
      <c r="S50" s="118">
        <v>46</v>
      </c>
      <c r="T50" s="167" t="s">
        <v>125</v>
      </c>
      <c r="U50" s="118" t="str">
        <f>V50&amp;": "&amp;COUNTIF(V$5:V50,V50)</f>
        <v>Lisa Family: 7</v>
      </c>
      <c r="V50" s="118" t="s">
        <v>39</v>
      </c>
      <c r="W50" s="118">
        <v>46</v>
      </c>
      <c r="X50" s="167" t="s">
        <v>125</v>
      </c>
      <c r="Y50" s="48"/>
    </row>
    <row r="51" spans="2:25" x14ac:dyDescent="0.35">
      <c r="B51"/>
      <c r="F51"/>
      <c r="G51"/>
      <c r="H51"/>
      <c r="I51"/>
      <c r="S51" s="118">
        <v>47</v>
      </c>
      <c r="T51" s="167" t="s">
        <v>127</v>
      </c>
      <c r="U51" s="118" t="str">
        <f>V51&amp;": "&amp;COUNTIF(V$5:V51,V51)</f>
        <v>Cle-O Family: 4</v>
      </c>
      <c r="V51" s="118" t="s">
        <v>67</v>
      </c>
      <c r="W51" s="118">
        <v>47</v>
      </c>
      <c r="X51" s="167" t="s">
        <v>127</v>
      </c>
      <c r="Y51" s="48"/>
    </row>
    <row r="52" spans="2:25" x14ac:dyDescent="0.35">
      <c r="B52"/>
      <c r="F52"/>
      <c r="G52"/>
      <c r="H52"/>
      <c r="I52"/>
      <c r="S52" s="118">
        <v>48</v>
      </c>
      <c r="T52" s="167" t="s">
        <v>128</v>
      </c>
      <c r="U52" s="118" t="str">
        <f>V52&amp;": "&amp;COUNTIF(V$5:V52,V52)</f>
        <v>Cle-O Family: 5</v>
      </c>
      <c r="V52" s="118" t="s">
        <v>67</v>
      </c>
      <c r="W52" s="118">
        <v>48</v>
      </c>
      <c r="X52" s="167" t="s">
        <v>128</v>
      </c>
    </row>
    <row r="53" spans="2:25" x14ac:dyDescent="0.35">
      <c r="B53"/>
      <c r="F53"/>
      <c r="G53"/>
      <c r="H53"/>
      <c r="I53"/>
      <c r="S53" s="118">
        <v>49</v>
      </c>
      <c r="T53" s="167" t="s">
        <v>129</v>
      </c>
      <c r="U53" s="118" t="str">
        <f>V53&amp;": "&amp;COUNTIF(V$5:V53,V53)</f>
        <v>Natasha Family: 5</v>
      </c>
      <c r="V53" s="118" t="s">
        <v>53</v>
      </c>
      <c r="W53" s="118">
        <v>49</v>
      </c>
      <c r="X53" s="167" t="s">
        <v>129</v>
      </c>
    </row>
    <row r="54" spans="2:25" x14ac:dyDescent="0.35">
      <c r="B54"/>
      <c r="F54"/>
      <c r="G54"/>
      <c r="H54"/>
      <c r="I54"/>
      <c r="S54" s="118">
        <v>50</v>
      </c>
      <c r="T54" s="167" t="s">
        <v>130</v>
      </c>
      <c r="U54" s="118" t="str">
        <f>V54&amp;": "&amp;COUNTIF(V$5:V54,V54)</f>
        <v>Apache Family: 3</v>
      </c>
      <c r="V54" s="118" t="s">
        <v>63</v>
      </c>
      <c r="W54" s="118">
        <v>50</v>
      </c>
      <c r="X54" s="167" t="s">
        <v>130</v>
      </c>
    </row>
    <row r="55" spans="2:25" x14ac:dyDescent="0.35">
      <c r="B55"/>
      <c r="F55"/>
      <c r="G55"/>
      <c r="H55"/>
      <c r="I55"/>
      <c r="S55" s="118">
        <v>51</v>
      </c>
      <c r="T55" s="167" t="s">
        <v>150</v>
      </c>
      <c r="U55" s="118" t="str">
        <f>V55&amp;": "&amp;COUNTIF(V$5:V55,V55)</f>
        <v>Mary Family: 8</v>
      </c>
      <c r="V55" s="118" t="s">
        <v>41</v>
      </c>
      <c r="W55" s="118">
        <v>51</v>
      </c>
      <c r="X55" s="167" t="s">
        <v>150</v>
      </c>
    </row>
    <row r="56" spans="2:25" x14ac:dyDescent="0.35">
      <c r="B56"/>
      <c r="F56"/>
      <c r="G56"/>
      <c r="H56"/>
      <c r="I56"/>
      <c r="S56" s="118">
        <v>52</v>
      </c>
      <c r="T56" s="167" t="s">
        <v>134</v>
      </c>
      <c r="U56" s="118" t="str">
        <f>V56&amp;": "&amp;COUNTIF(V$5:V56,V56)</f>
        <v>Lady-Pink Family: 3</v>
      </c>
      <c r="V56" s="118" t="s">
        <v>65</v>
      </c>
      <c r="W56" s="118">
        <v>52</v>
      </c>
      <c r="X56" s="167" t="s">
        <v>134</v>
      </c>
    </row>
    <row r="57" spans="2:25" x14ac:dyDescent="0.35">
      <c r="B57"/>
      <c r="F57"/>
      <c r="G57"/>
      <c r="H57"/>
      <c r="I57"/>
      <c r="S57" s="118">
        <v>53</v>
      </c>
      <c r="T57" s="167" t="s">
        <v>145</v>
      </c>
      <c r="U57" s="118" t="str">
        <f>V57&amp;": "&amp;COUNTIF(V$5:V57,V57)</f>
        <v>Toni Ann Family: 3</v>
      </c>
      <c r="V57" s="118" t="s">
        <v>37</v>
      </c>
      <c r="W57" s="118">
        <v>53</v>
      </c>
      <c r="X57" s="167" t="s">
        <v>145</v>
      </c>
    </row>
    <row r="58" spans="2:25" x14ac:dyDescent="0.35">
      <c r="B58"/>
      <c r="F58"/>
      <c r="G58"/>
      <c r="H58"/>
      <c r="I58"/>
      <c r="S58" s="118">
        <v>54</v>
      </c>
      <c r="T58" s="167" t="s">
        <v>146</v>
      </c>
      <c r="U58" s="118" t="str">
        <f>V58&amp;": "&amp;COUNTIF(V$5:V58,V58)</f>
        <v>Mary Family: 9</v>
      </c>
      <c r="V58" s="118" t="s">
        <v>41</v>
      </c>
      <c r="W58" s="118">
        <v>54</v>
      </c>
      <c r="X58" s="167" t="s">
        <v>146</v>
      </c>
    </row>
    <row r="59" spans="2:25" x14ac:dyDescent="0.35">
      <c r="B59"/>
      <c r="F59"/>
      <c r="G59"/>
      <c r="H59"/>
      <c r="I59"/>
      <c r="S59" s="118">
        <v>55</v>
      </c>
      <c r="T59" s="167" t="s">
        <v>147</v>
      </c>
      <c r="U59" s="118" t="str">
        <f>V59&amp;": "&amp;COUNTIF(V$5:V59,V59)</f>
        <v>Natasha Family: 6</v>
      </c>
      <c r="V59" s="118" t="s">
        <v>53</v>
      </c>
      <c r="W59" s="118">
        <v>55</v>
      </c>
      <c r="X59" s="167" t="s">
        <v>147</v>
      </c>
    </row>
    <row r="60" spans="2:25" x14ac:dyDescent="0.35">
      <c r="B60"/>
      <c r="F60"/>
      <c r="G60"/>
      <c r="H60"/>
      <c r="I60"/>
      <c r="S60" s="118">
        <v>56</v>
      </c>
      <c r="T60" s="167" t="s">
        <v>149</v>
      </c>
      <c r="U60" s="118" t="str">
        <f>V60&amp;": "&amp;COUNTIF(V$5:V60,V60)</f>
        <v>Bo Bo Family: 3</v>
      </c>
      <c r="V60" s="118" t="s">
        <v>113</v>
      </c>
      <c r="W60" s="118">
        <v>56</v>
      </c>
      <c r="X60" s="167" t="s">
        <v>149</v>
      </c>
    </row>
    <row r="61" spans="2:25" x14ac:dyDescent="0.35">
      <c r="B61"/>
      <c r="F61"/>
      <c r="G61"/>
      <c r="H61"/>
      <c r="I61"/>
      <c r="S61" s="118">
        <v>57</v>
      </c>
      <c r="T61" s="167" t="s">
        <v>151</v>
      </c>
      <c r="U61" s="118" t="str">
        <f>V61&amp;": "&amp;COUNTIF(V$5:V61,V61)</f>
        <v>Lady-Pink Family: 4</v>
      </c>
      <c r="V61" s="118" t="s">
        <v>65</v>
      </c>
      <c r="W61" s="118">
        <v>57</v>
      </c>
      <c r="X61" s="167" t="s">
        <v>151</v>
      </c>
    </row>
    <row r="62" spans="2:25" x14ac:dyDescent="0.35">
      <c r="B62"/>
      <c r="F62"/>
      <c r="G62"/>
      <c r="H62"/>
      <c r="I62"/>
      <c r="S62" s="168">
        <v>58</v>
      </c>
      <c r="T62" s="169" t="s">
        <v>152</v>
      </c>
      <c r="U62" s="118" t="str">
        <f>V62&amp;": "&amp;COUNTIF(V$5:V62,V62)</f>
        <v>Mary Family: 10</v>
      </c>
      <c r="V62" s="168" t="s">
        <v>41</v>
      </c>
      <c r="W62" s="168">
        <v>58</v>
      </c>
      <c r="X62" s="169" t="s">
        <v>152</v>
      </c>
    </row>
    <row r="63" spans="2:25" x14ac:dyDescent="0.35">
      <c r="B63"/>
      <c r="F63"/>
      <c r="G63"/>
      <c r="H63"/>
      <c r="I63"/>
      <c r="S63" s="118">
        <v>59</v>
      </c>
      <c r="T63" s="167" t="s">
        <v>153</v>
      </c>
      <c r="U63" s="118" t="str">
        <f>V63&amp;": "&amp;COUNTIF(V$5:V63,V63)</f>
        <v>Mary Family: 11</v>
      </c>
      <c r="V63" s="118" t="s">
        <v>41</v>
      </c>
      <c r="W63" s="118">
        <v>59</v>
      </c>
      <c r="X63" s="167" t="s">
        <v>153</v>
      </c>
    </row>
    <row r="64" spans="2:25" x14ac:dyDescent="0.35">
      <c r="B64"/>
      <c r="F64"/>
      <c r="G64"/>
      <c r="H64"/>
      <c r="I64"/>
      <c r="S64" s="118">
        <v>60</v>
      </c>
      <c r="T64" s="167" t="s">
        <v>154</v>
      </c>
      <c r="U64" s="118" t="str">
        <f>V64&amp;": "&amp;COUNTIF(V$5:V64,V64)</f>
        <v>Lisa Family: 8</v>
      </c>
      <c r="V64" s="118" t="s">
        <v>39</v>
      </c>
      <c r="W64" s="118">
        <v>60</v>
      </c>
      <c r="X64" s="167" t="s">
        <v>154</v>
      </c>
    </row>
    <row r="65" spans="2:24" x14ac:dyDescent="0.35">
      <c r="B65"/>
      <c r="F65"/>
      <c r="G65"/>
      <c r="H65"/>
      <c r="I65"/>
      <c r="S65" s="118">
        <v>61</v>
      </c>
      <c r="T65" s="167" t="s">
        <v>155</v>
      </c>
      <c r="U65" s="118" t="str">
        <f>V65&amp;": "&amp;COUNTIF(V$5:V65,V65)</f>
        <v>Lisa Family: 9</v>
      </c>
      <c r="V65" s="178" t="s">
        <v>39</v>
      </c>
      <c r="W65" s="118">
        <v>61</v>
      </c>
      <c r="X65" s="167" t="s">
        <v>155</v>
      </c>
    </row>
    <row r="66" spans="2:24" x14ac:dyDescent="0.35">
      <c r="B66"/>
      <c r="F66"/>
      <c r="G66"/>
      <c r="H66"/>
      <c r="I66"/>
      <c r="S66" s="118">
        <v>62</v>
      </c>
      <c r="T66" s="167" t="s">
        <v>158</v>
      </c>
      <c r="U66" s="118" t="str">
        <f>V66&amp;": "&amp;COUNTIF(V$5:V66,V66)</f>
        <v>Apache Family: 4</v>
      </c>
      <c r="V66" s="118" t="s">
        <v>63</v>
      </c>
      <c r="W66" s="118">
        <v>62</v>
      </c>
      <c r="X66" s="167" t="s">
        <v>158</v>
      </c>
    </row>
    <row r="67" spans="2:24" x14ac:dyDescent="0.35">
      <c r="B67"/>
      <c r="F67"/>
      <c r="G67"/>
      <c r="H67"/>
      <c r="I67"/>
      <c r="S67" s="118">
        <v>63</v>
      </c>
      <c r="T67" s="167" t="s">
        <v>159</v>
      </c>
      <c r="U67" s="118" t="str">
        <f>V67&amp;": "&amp;COUNTIF(V$5:V67,V67)</f>
        <v>Apache Family: 5</v>
      </c>
      <c r="V67" s="118" t="s">
        <v>63</v>
      </c>
      <c r="W67" s="118">
        <v>63</v>
      </c>
      <c r="X67" s="167" t="s">
        <v>159</v>
      </c>
    </row>
    <row r="68" spans="2:24" x14ac:dyDescent="0.35">
      <c r="B68"/>
      <c r="F68"/>
      <c r="G68"/>
      <c r="H68"/>
      <c r="I68"/>
      <c r="S68" s="118">
        <v>64</v>
      </c>
      <c r="T68" s="167" t="s">
        <v>160</v>
      </c>
      <c r="U68" s="118" t="str">
        <f>V68&amp;": "&amp;COUNTIF(V$5:V68,V68)</f>
        <v>Mary Family: 12</v>
      </c>
      <c r="V68" s="118" t="s">
        <v>41</v>
      </c>
      <c r="W68" s="118">
        <v>64</v>
      </c>
      <c r="X68" s="167" t="s">
        <v>160</v>
      </c>
    </row>
    <row r="69" spans="2:24" x14ac:dyDescent="0.35">
      <c r="B69"/>
      <c r="F69"/>
      <c r="G69"/>
      <c r="H69"/>
      <c r="I69"/>
      <c r="S69" s="118">
        <v>65</v>
      </c>
      <c r="T69" s="167" t="s">
        <v>175</v>
      </c>
      <c r="U69" s="118" t="str">
        <f>V69&amp;": "&amp;COUNTIF(V$5:V69,V69)</f>
        <v>Cle-O Family: 6</v>
      </c>
      <c r="V69" s="118" t="s">
        <v>67</v>
      </c>
      <c r="W69" s="118">
        <v>65</v>
      </c>
      <c r="X69" s="167" t="s">
        <v>175</v>
      </c>
    </row>
    <row r="70" spans="2:24" x14ac:dyDescent="0.35">
      <c r="S70" s="118">
        <v>66</v>
      </c>
      <c r="T70" s="167" t="s">
        <v>176</v>
      </c>
      <c r="U70" s="118" t="str">
        <f>V70&amp;": "&amp;COUNTIF(V$5:V70,V70)</f>
        <v>Cle-O Family: 7</v>
      </c>
      <c r="V70" s="118" t="s">
        <v>67</v>
      </c>
      <c r="W70" s="118">
        <v>66</v>
      </c>
      <c r="X70" s="167" t="s">
        <v>176</v>
      </c>
    </row>
    <row r="71" spans="2:24" x14ac:dyDescent="0.35">
      <c r="S71" s="118">
        <v>67</v>
      </c>
      <c r="T71" s="167" t="s">
        <v>201</v>
      </c>
      <c r="U71" s="118" t="str">
        <f>V71&amp;": "&amp;COUNTIF(V$5:V71,V71)</f>
        <v>Bo Bo Family: 4</v>
      </c>
      <c r="V71" s="118" t="s">
        <v>113</v>
      </c>
      <c r="W71" s="118">
        <v>67</v>
      </c>
      <c r="X71" s="167" t="s">
        <v>201</v>
      </c>
    </row>
    <row r="72" spans="2:24" x14ac:dyDescent="0.35">
      <c r="S72" s="118">
        <v>68</v>
      </c>
      <c r="T72" s="167" t="s">
        <v>202</v>
      </c>
      <c r="U72" s="118" t="str">
        <f>V72&amp;": "&amp;COUNTIF(V$5:V72,V72)</f>
        <v>Mary Family: 13</v>
      </c>
      <c r="V72" s="118" t="s">
        <v>41</v>
      </c>
      <c r="W72" s="118">
        <v>68</v>
      </c>
      <c r="X72" s="167" t="s">
        <v>202</v>
      </c>
    </row>
    <row r="73" spans="2:24" x14ac:dyDescent="0.35">
      <c r="S73" s="118">
        <v>69</v>
      </c>
      <c r="T73" s="167" t="s">
        <v>203</v>
      </c>
      <c r="U73" s="118" t="str">
        <f>V73&amp;": "&amp;COUNTIF(V$5:V73,V73)</f>
        <v>Natasha Family: 7</v>
      </c>
      <c r="V73" s="118" t="s">
        <v>53</v>
      </c>
      <c r="W73" s="118">
        <v>69</v>
      </c>
      <c r="X73" s="167" t="s">
        <v>203</v>
      </c>
    </row>
    <row r="74" spans="2:24" x14ac:dyDescent="0.35">
      <c r="S74" s="118">
        <v>70</v>
      </c>
      <c r="T74" s="167" t="s">
        <v>229</v>
      </c>
      <c r="U74" s="118" t="str">
        <f>V74&amp;": "&amp;COUNTIF(V$5:V74,V74)</f>
        <v>Mary Family: 14</v>
      </c>
      <c r="V74" s="118" t="s">
        <v>41</v>
      </c>
      <c r="W74" s="118">
        <v>70</v>
      </c>
      <c r="X74" s="167" t="s">
        <v>229</v>
      </c>
    </row>
    <row r="75" spans="2:24" x14ac:dyDescent="0.35">
      <c r="S75" s="118">
        <v>71</v>
      </c>
      <c r="T75" s="167" t="s">
        <v>237</v>
      </c>
      <c r="U75" s="118" t="str">
        <f>V75&amp;": "&amp;COUNTIF(V$5:V75,V75)</f>
        <v>Charlotte Family: 1</v>
      </c>
      <c r="V75" s="179" t="s">
        <v>240</v>
      </c>
      <c r="W75" s="118">
        <v>71</v>
      </c>
      <c r="X75" s="167" t="s">
        <v>237</v>
      </c>
    </row>
    <row r="76" spans="2:24" x14ac:dyDescent="0.35">
      <c r="S76" s="118">
        <v>72</v>
      </c>
      <c r="T76" s="179" t="s">
        <v>241</v>
      </c>
      <c r="U76" s="118" t="str">
        <f>V76&amp;": "&amp;COUNTIF(V$5:V76,V76)</f>
        <v>Lady-Pink Family: 5</v>
      </c>
      <c r="V76" s="118" t="s">
        <v>65</v>
      </c>
      <c r="W76" s="118">
        <v>72</v>
      </c>
      <c r="X76" s="179" t="s">
        <v>241</v>
      </c>
    </row>
    <row r="77" spans="2:24" x14ac:dyDescent="0.35">
      <c r="S77" s="118">
        <v>73</v>
      </c>
      <c r="T77" s="179" t="s">
        <v>242</v>
      </c>
      <c r="U77" s="118" t="str">
        <f>V77&amp;": "&amp;COUNTIF(V$5:V77,V77)</f>
        <v>Lady-Pink Family: 6</v>
      </c>
      <c r="V77" s="118" t="s">
        <v>65</v>
      </c>
      <c r="W77" s="118">
        <v>73</v>
      </c>
      <c r="X77" s="179" t="s">
        <v>242</v>
      </c>
    </row>
    <row r="78" spans="2:24" x14ac:dyDescent="0.35">
      <c r="S78" s="118">
        <v>74</v>
      </c>
      <c r="T78" s="10" t="s">
        <v>243</v>
      </c>
      <c r="U78" s="118" t="str">
        <f>V78&amp;": "&amp;COUNTIF(V$5:V78,V78)</f>
        <v>Mary Family: 15</v>
      </c>
      <c r="V78" s="118" t="s">
        <v>41</v>
      </c>
      <c r="W78" s="118">
        <v>74</v>
      </c>
      <c r="X78" s="10" t="s">
        <v>243</v>
      </c>
    </row>
  </sheetData>
  <mergeCells count="15">
    <mergeCell ref="L14:N14"/>
    <mergeCell ref="L13:N13"/>
    <mergeCell ref="L15:N15"/>
    <mergeCell ref="L16:N16"/>
    <mergeCell ref="L5:N6"/>
    <mergeCell ref="O5:O6"/>
    <mergeCell ref="J5:J6"/>
    <mergeCell ref="I5:I6"/>
    <mergeCell ref="B5:B6"/>
    <mergeCell ref="G5:G6"/>
    <mergeCell ref="H5:H6"/>
    <mergeCell ref="C5:C6"/>
    <mergeCell ref="D5:D6"/>
    <mergeCell ref="E5:E6"/>
    <mergeCell ref="F5:F6"/>
  </mergeCells>
  <dataValidations count="4">
    <dataValidation type="list" allowBlank="1" showInputMessage="1" showErrorMessage="1" sqref="Z26:Z27 Z23:Z24">
      <formula1>#REF!</formula1>
    </dataValidation>
    <dataValidation type="list" allowBlank="1" showInputMessage="1" showErrorMessage="1" sqref="AB26">
      <formula1>$D$7:$D$14</formula1>
    </dataValidation>
    <dataValidation type="list" allowBlank="1" showInputMessage="1" showErrorMessage="1" sqref="AB31 AB35 AB27 AB23:AB25">
      <formula1>$D$7:$D$13</formula1>
    </dataValidation>
    <dataValidation type="list" allowBlank="1" showInputMessage="1" showErrorMessage="1" sqref="V35 V29 V57 V6:V21">
      <formula1>#REF!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Spinner 14">
              <controlPr defaultSize="0" autoPict="0">
                <anchor moveWithCells="1" sizeWithCells="1">
                  <from>
                    <xdr:col>11</xdr:col>
                    <xdr:colOff>857250</xdr:colOff>
                    <xdr:row>0</xdr:row>
                    <xdr:rowOff>146050</xdr:rowOff>
                  </from>
                  <to>
                    <xdr:col>13</xdr:col>
                    <xdr:colOff>31750</xdr:colOff>
                    <xdr:row>2</xdr:row>
                    <xdr:rowOff>184150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List!$D$7:$D$19</xm:f>
          </x14:formula1>
          <xm:sqref>AB36 AB38:AB51 AB28:AB30 AB32:AB34</xm:sqref>
        </x14:dataValidation>
        <x14:dataValidation type="list" allowBlank="1" showInputMessage="1" showErrorMessage="1">
          <x14:formula1>
            <xm:f>List!$F$7:$F$9</xm:f>
          </x14:formula1>
          <xm:sqref>Z28:Z36 Z25 Z38:Z51 Z17:Z22</xm:sqref>
        </x14:dataValidation>
        <x14:dataValidation type="list" allowBlank="1" showInputMessage="1" showErrorMessage="1">
          <x14:formula1>
            <xm:f>List!$E$7:$E$22</xm:f>
          </x14:formula1>
          <xm:sqref>Y15</xm:sqref>
        </x14:dataValidation>
        <x14:dataValidation type="list" errorStyle="information" allowBlank="1" showInputMessage="1" showErrorMessage="1" prompt="Test">
          <x14:formula1>
            <xm:f>List!$D$7:$D$19</xm:f>
          </x14:formula1>
          <xm:sqref>AB17:AB22</xm:sqref>
        </x14:dataValidation>
        <x14:dataValidation type="list" allowBlank="1" showInputMessage="1" showErrorMessage="1">
          <x14:formula1>
            <xm:f>List!#REF!</xm:f>
          </x14:formula1>
          <xm:sqref>V40:V56 V58:V74 V30:V34 V36:V38 V22:V28 X27 T27 V76:V78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M89"/>
  <sheetViews>
    <sheetView workbookViewId="0">
      <selection activeCell="H42" sqref="H42"/>
    </sheetView>
  </sheetViews>
  <sheetFormatPr defaultRowHeight="15.5" x14ac:dyDescent="0.35"/>
  <cols>
    <col min="1" max="1" width="1" customWidth="1"/>
    <col min="2" max="2" width="5.07421875" style="17" customWidth="1"/>
    <col min="3" max="3" width="10.53515625" style="17" customWidth="1"/>
    <col min="4" max="4" width="16.4609375" customWidth="1"/>
    <col min="5" max="5" width="14.69140625" customWidth="1"/>
    <col min="6" max="6" width="8.07421875" customWidth="1"/>
    <col min="7" max="7" width="18.84375" customWidth="1"/>
    <col min="8" max="8" width="19.921875" customWidth="1"/>
    <col min="9" max="9" width="18.53515625" customWidth="1"/>
    <col min="10" max="10" width="4.765625" customWidth="1"/>
    <col min="11" max="11" width="11.69140625" customWidth="1"/>
    <col min="12" max="12" width="29.23046875" customWidth="1"/>
  </cols>
  <sheetData>
    <row r="1" spans="1:13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223">
        <v>43997</v>
      </c>
      <c r="L1" s="10"/>
    </row>
    <row r="2" spans="1:13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5.75" customHeight="1" x14ac:dyDescent="0.3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15.75" customHeight="1" thickBo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3" x14ac:dyDescent="0.35">
      <c r="B5" s="301" t="s">
        <v>74</v>
      </c>
      <c r="C5" s="305" t="s">
        <v>78</v>
      </c>
      <c r="D5" s="305" t="s">
        <v>36</v>
      </c>
      <c r="E5" s="305" t="s">
        <v>4</v>
      </c>
      <c r="F5" s="305" t="s">
        <v>2</v>
      </c>
      <c r="G5" s="305" t="s">
        <v>50</v>
      </c>
      <c r="H5" s="305" t="s">
        <v>73</v>
      </c>
      <c r="I5" s="305" t="s">
        <v>6</v>
      </c>
      <c r="J5" s="305" t="s">
        <v>132</v>
      </c>
      <c r="K5" s="305" t="s">
        <v>47</v>
      </c>
      <c r="L5" s="305" t="s">
        <v>97</v>
      </c>
      <c r="M5" s="336" t="s">
        <v>143</v>
      </c>
    </row>
    <row r="6" spans="1:13" ht="16" thickBot="1" x14ac:dyDescent="0.4">
      <c r="B6" s="302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37"/>
    </row>
    <row r="7" spans="1:13" x14ac:dyDescent="0.35">
      <c r="B7">
        <v>1</v>
      </c>
      <c r="C7" s="65" t="s">
        <v>7</v>
      </c>
      <c r="D7" t="s">
        <v>63</v>
      </c>
      <c r="E7" s="34" t="s">
        <v>57</v>
      </c>
      <c r="F7" s="48" t="s">
        <v>8</v>
      </c>
      <c r="G7" t="s">
        <v>4</v>
      </c>
      <c r="H7" t="s">
        <v>11</v>
      </c>
      <c r="I7" s="116" t="s">
        <v>57</v>
      </c>
      <c r="J7" s="117">
        <v>20</v>
      </c>
      <c r="K7" t="s">
        <v>34</v>
      </c>
      <c r="L7" t="s">
        <v>99</v>
      </c>
      <c r="M7">
        <v>2019</v>
      </c>
    </row>
    <row r="8" spans="1:13" x14ac:dyDescent="0.35">
      <c r="B8">
        <v>2</v>
      </c>
      <c r="C8" s="65" t="s">
        <v>5</v>
      </c>
      <c r="D8" s="66" t="s">
        <v>231</v>
      </c>
      <c r="E8" s="34" t="s">
        <v>60</v>
      </c>
      <c r="F8" s="48" t="s">
        <v>6</v>
      </c>
      <c r="G8" t="s">
        <v>48</v>
      </c>
      <c r="H8" t="s">
        <v>62</v>
      </c>
      <c r="I8" s="115" t="s">
        <v>150</v>
      </c>
      <c r="J8" s="117">
        <v>51</v>
      </c>
      <c r="K8" s="48" t="s">
        <v>118</v>
      </c>
      <c r="L8" t="s">
        <v>100</v>
      </c>
      <c r="M8">
        <v>2020</v>
      </c>
    </row>
    <row r="9" spans="1:13" x14ac:dyDescent="0.35">
      <c r="B9">
        <v>3</v>
      </c>
      <c r="C9" s="66" t="s">
        <v>9</v>
      </c>
      <c r="D9" t="s">
        <v>113</v>
      </c>
      <c r="E9" s="34" t="s">
        <v>24</v>
      </c>
      <c r="F9" s="48" t="s">
        <v>44</v>
      </c>
      <c r="G9" t="s">
        <v>47</v>
      </c>
      <c r="H9" t="s">
        <v>112</v>
      </c>
      <c r="I9" s="115" t="s">
        <v>175</v>
      </c>
      <c r="J9" s="117">
        <v>65</v>
      </c>
      <c r="K9" t="s">
        <v>22</v>
      </c>
      <c r="L9" t="s">
        <v>101</v>
      </c>
      <c r="M9">
        <v>2021</v>
      </c>
    </row>
    <row r="10" spans="1:13" x14ac:dyDescent="0.35">
      <c r="B10">
        <v>4</v>
      </c>
      <c r="C10" s="66" t="s">
        <v>10</v>
      </c>
      <c r="D10" s="234" t="s">
        <v>240</v>
      </c>
      <c r="E10" s="48" t="s">
        <v>153</v>
      </c>
      <c r="G10" t="s">
        <v>51</v>
      </c>
      <c r="H10" t="s">
        <v>131</v>
      </c>
      <c r="I10" s="115" t="s">
        <v>122</v>
      </c>
      <c r="J10" s="117">
        <v>42</v>
      </c>
      <c r="L10" t="s">
        <v>18</v>
      </c>
      <c r="M10">
        <v>2022</v>
      </c>
    </row>
    <row r="11" spans="1:13" x14ac:dyDescent="0.35">
      <c r="B11">
        <v>5</v>
      </c>
      <c r="C11" s="66" t="s">
        <v>103</v>
      </c>
      <c r="D11" t="s">
        <v>67</v>
      </c>
      <c r="E11" s="34" t="s">
        <v>61</v>
      </c>
      <c r="G11" t="s">
        <v>46</v>
      </c>
      <c r="H11" t="s">
        <v>105</v>
      </c>
      <c r="I11" s="115" t="s">
        <v>160</v>
      </c>
      <c r="J11" s="117">
        <v>64</v>
      </c>
      <c r="L11" t="s">
        <v>98</v>
      </c>
      <c r="M11">
        <v>2023</v>
      </c>
    </row>
    <row r="12" spans="1:13" x14ac:dyDescent="0.35">
      <c r="B12">
        <v>6</v>
      </c>
      <c r="C12" s="65" t="s">
        <v>13</v>
      </c>
      <c r="D12" t="s">
        <v>42</v>
      </c>
      <c r="E12" s="34" t="s">
        <v>13</v>
      </c>
      <c r="F12" s="5" t="s">
        <v>56</v>
      </c>
      <c r="G12" t="s">
        <v>45</v>
      </c>
      <c r="H12" t="s">
        <v>12</v>
      </c>
      <c r="I12" s="115" t="s">
        <v>110</v>
      </c>
      <c r="J12" s="117">
        <v>36</v>
      </c>
      <c r="M12">
        <v>2024</v>
      </c>
    </row>
    <row r="13" spans="1:13" x14ac:dyDescent="0.35">
      <c r="B13">
        <v>7</v>
      </c>
      <c r="C13" s="116" t="s">
        <v>14</v>
      </c>
      <c r="D13" t="s">
        <v>65</v>
      </c>
      <c r="E13" s="48" t="s">
        <v>103</v>
      </c>
      <c r="F13" s="5" t="s">
        <v>75</v>
      </c>
      <c r="G13" t="s">
        <v>52</v>
      </c>
      <c r="I13" s="115" t="s">
        <v>127</v>
      </c>
      <c r="J13" s="117">
        <v>47</v>
      </c>
      <c r="M13">
        <v>2025</v>
      </c>
    </row>
    <row r="14" spans="1:13" x14ac:dyDescent="0.35">
      <c r="B14">
        <v>8</v>
      </c>
      <c r="C14" s="66" t="s">
        <v>31</v>
      </c>
      <c r="D14" t="s">
        <v>39</v>
      </c>
      <c r="E14" s="34" t="s">
        <v>84</v>
      </c>
      <c r="F14" s="48" t="s">
        <v>133</v>
      </c>
      <c r="G14" t="s">
        <v>49</v>
      </c>
      <c r="I14" s="115" t="s">
        <v>130</v>
      </c>
      <c r="J14" s="117">
        <v>50</v>
      </c>
      <c r="L14" t="s">
        <v>11</v>
      </c>
    </row>
    <row r="15" spans="1:13" x14ac:dyDescent="0.35">
      <c r="B15">
        <v>9</v>
      </c>
      <c r="C15" s="65" t="s">
        <v>20</v>
      </c>
      <c r="D15" t="s">
        <v>40</v>
      </c>
      <c r="E15" s="34" t="s">
        <v>5</v>
      </c>
      <c r="I15" s="146" t="s">
        <v>237</v>
      </c>
      <c r="J15" s="117">
        <v>71</v>
      </c>
      <c r="L15" t="s">
        <v>21</v>
      </c>
    </row>
    <row r="16" spans="1:13" x14ac:dyDescent="0.35">
      <c r="B16">
        <v>10</v>
      </c>
      <c r="C16" s="65" t="s">
        <v>23</v>
      </c>
      <c r="D16" t="s">
        <v>41</v>
      </c>
      <c r="E16" s="48"/>
      <c r="F16" t="s">
        <v>21</v>
      </c>
      <c r="I16" s="115" t="s">
        <v>134</v>
      </c>
      <c r="J16" s="117">
        <v>52</v>
      </c>
    </row>
    <row r="17" spans="2:12" x14ac:dyDescent="0.35">
      <c r="B17">
        <v>11</v>
      </c>
      <c r="C17" s="66" t="s">
        <v>26</v>
      </c>
      <c r="D17" t="s">
        <v>114</v>
      </c>
      <c r="E17" s="34"/>
      <c r="F17" t="s">
        <v>35</v>
      </c>
      <c r="I17" s="117" t="s">
        <v>60</v>
      </c>
      <c r="J17" s="117">
        <v>23</v>
      </c>
      <c r="L17">
        <f>COUNTIFS(Farm!$V$5:'Farm'!$V$100,$J13,Farm!$W$5:'Farm'!$W$100,$N$11)</f>
        <v>0</v>
      </c>
    </row>
    <row r="18" spans="2:12" x14ac:dyDescent="0.35">
      <c r="B18">
        <v>12</v>
      </c>
      <c r="C18" s="65" t="s">
        <v>24</v>
      </c>
      <c r="D18" t="s">
        <v>53</v>
      </c>
      <c r="E18" s="48"/>
      <c r="F18" t="s">
        <v>133</v>
      </c>
      <c r="I18" s="116" t="s">
        <v>24</v>
      </c>
      <c r="J18" s="117">
        <v>12</v>
      </c>
    </row>
    <row r="19" spans="2:12" x14ac:dyDescent="0.35">
      <c r="B19">
        <v>13</v>
      </c>
      <c r="C19" s="65" t="s">
        <v>25</v>
      </c>
      <c r="D19" t="s">
        <v>66</v>
      </c>
      <c r="E19" s="34"/>
      <c r="I19" s="115" t="s">
        <v>153</v>
      </c>
      <c r="J19" s="117">
        <v>59</v>
      </c>
    </row>
    <row r="20" spans="2:12" x14ac:dyDescent="0.35">
      <c r="B20">
        <v>14</v>
      </c>
      <c r="C20" s="66" t="s">
        <v>30</v>
      </c>
      <c r="D20" t="s">
        <v>64</v>
      </c>
      <c r="E20" s="34"/>
      <c r="I20" s="115" t="s">
        <v>9</v>
      </c>
      <c r="J20" s="117">
        <v>3</v>
      </c>
    </row>
    <row r="21" spans="2:12" x14ac:dyDescent="0.35">
      <c r="B21">
        <v>15</v>
      </c>
      <c r="C21" s="65" t="s">
        <v>28</v>
      </c>
      <c r="D21" t="s">
        <v>37</v>
      </c>
      <c r="E21" s="34"/>
      <c r="I21" s="115" t="s">
        <v>31</v>
      </c>
      <c r="J21" s="117">
        <v>8</v>
      </c>
    </row>
    <row r="22" spans="2:12" x14ac:dyDescent="0.35">
      <c r="B22">
        <v>16</v>
      </c>
      <c r="C22" s="65" t="s">
        <v>29</v>
      </c>
      <c r="D22" t="s">
        <v>38</v>
      </c>
      <c r="E22" s="48"/>
      <c r="I22" s="115" t="s">
        <v>149</v>
      </c>
      <c r="J22" s="117">
        <v>56</v>
      </c>
    </row>
    <row r="23" spans="2:12" x14ac:dyDescent="0.35">
      <c r="B23">
        <v>17</v>
      </c>
      <c r="C23" s="65" t="s">
        <v>32</v>
      </c>
      <c r="E23" s="48"/>
      <c r="I23" s="116" t="s">
        <v>61</v>
      </c>
      <c r="J23" s="117">
        <v>22</v>
      </c>
    </row>
    <row r="24" spans="2:12" x14ac:dyDescent="0.35">
      <c r="B24">
        <v>18</v>
      </c>
      <c r="C24" s="65" t="s">
        <v>33</v>
      </c>
      <c r="E24" s="48"/>
      <c r="I24" s="234" t="s">
        <v>241</v>
      </c>
      <c r="J24" s="117">
        <v>72</v>
      </c>
    </row>
    <row r="25" spans="2:12" x14ac:dyDescent="0.35">
      <c r="B25">
        <v>19</v>
      </c>
      <c r="C25" s="65" t="s">
        <v>34</v>
      </c>
      <c r="E25" s="34"/>
      <c r="I25" s="116" t="s">
        <v>13</v>
      </c>
      <c r="J25" s="117">
        <v>6</v>
      </c>
    </row>
    <row r="26" spans="2:12" x14ac:dyDescent="0.35">
      <c r="B26">
        <v>20</v>
      </c>
      <c r="C26" s="65" t="s">
        <v>57</v>
      </c>
      <c r="E26" s="34"/>
      <c r="I26" s="116" t="s">
        <v>14</v>
      </c>
      <c r="J26" s="117">
        <v>7</v>
      </c>
    </row>
    <row r="27" spans="2:12" x14ac:dyDescent="0.35">
      <c r="B27">
        <v>21</v>
      </c>
      <c r="C27" s="66" t="s">
        <v>58</v>
      </c>
      <c r="E27" s="34"/>
      <c r="I27" s="115" t="s">
        <v>201</v>
      </c>
      <c r="J27" s="117">
        <v>67</v>
      </c>
    </row>
    <row r="28" spans="2:12" x14ac:dyDescent="0.35">
      <c r="B28">
        <v>22</v>
      </c>
      <c r="C28" s="65" t="s">
        <v>61</v>
      </c>
      <c r="E28" s="48"/>
      <c r="I28" s="115" t="s">
        <v>26</v>
      </c>
      <c r="J28" s="117">
        <v>11</v>
      </c>
    </row>
    <row r="29" spans="2:12" x14ac:dyDescent="0.35">
      <c r="B29">
        <v>23</v>
      </c>
      <c r="C29" s="54" t="s">
        <v>60</v>
      </c>
      <c r="E29" s="48"/>
      <c r="I29" s="115" t="s">
        <v>30</v>
      </c>
      <c r="J29" s="117">
        <v>14</v>
      </c>
    </row>
    <row r="30" spans="2:12" x14ac:dyDescent="0.35">
      <c r="B30">
        <v>24</v>
      </c>
      <c r="C30" s="66" t="s">
        <v>59</v>
      </c>
      <c r="E30" s="48"/>
      <c r="I30" s="115" t="s">
        <v>158</v>
      </c>
      <c r="J30" s="117">
        <v>62</v>
      </c>
    </row>
    <row r="31" spans="2:12" x14ac:dyDescent="0.35">
      <c r="B31">
        <v>25</v>
      </c>
      <c r="C31" s="65" t="s">
        <v>71</v>
      </c>
      <c r="E31" s="34"/>
      <c r="I31" s="115" t="s">
        <v>159</v>
      </c>
      <c r="J31" s="117">
        <v>63</v>
      </c>
    </row>
    <row r="32" spans="2:12" x14ac:dyDescent="0.35">
      <c r="B32">
        <v>26</v>
      </c>
      <c r="C32" s="65" t="s">
        <v>83</v>
      </c>
      <c r="E32" s="34"/>
      <c r="I32" s="117" t="s">
        <v>111</v>
      </c>
      <c r="J32" s="117">
        <v>35</v>
      </c>
    </row>
    <row r="33" spans="2:10" x14ac:dyDescent="0.35">
      <c r="B33">
        <v>27</v>
      </c>
      <c r="C33" s="65" t="s">
        <v>84</v>
      </c>
      <c r="E33" s="34"/>
      <c r="I33" s="115" t="s">
        <v>129</v>
      </c>
      <c r="J33" s="117">
        <v>49</v>
      </c>
    </row>
    <row r="34" spans="2:10" x14ac:dyDescent="0.35">
      <c r="B34">
        <v>28</v>
      </c>
      <c r="C34" s="115" t="s">
        <v>102</v>
      </c>
      <c r="E34" s="34"/>
      <c r="I34" s="115" t="s">
        <v>103</v>
      </c>
      <c r="J34" s="117">
        <v>5</v>
      </c>
    </row>
    <row r="35" spans="2:10" x14ac:dyDescent="0.35">
      <c r="B35">
        <v>29</v>
      </c>
      <c r="C35" s="66" t="s">
        <v>104</v>
      </c>
      <c r="E35" s="34"/>
      <c r="I35" s="115" t="s">
        <v>59</v>
      </c>
      <c r="J35" s="117">
        <v>24</v>
      </c>
    </row>
    <row r="36" spans="2:10" x14ac:dyDescent="0.35">
      <c r="B36">
        <v>30</v>
      </c>
      <c r="C36" s="66" t="s">
        <v>106</v>
      </c>
      <c r="I36" s="116" t="s">
        <v>83</v>
      </c>
      <c r="J36" s="117">
        <v>26</v>
      </c>
    </row>
    <row r="37" spans="2:10" x14ac:dyDescent="0.35">
      <c r="B37">
        <v>31</v>
      </c>
      <c r="C37" s="66" t="s">
        <v>107</v>
      </c>
      <c r="I37" s="115" t="s">
        <v>115</v>
      </c>
      <c r="J37" s="117">
        <v>37</v>
      </c>
    </row>
    <row r="38" spans="2:10" x14ac:dyDescent="0.35">
      <c r="B38">
        <v>32</v>
      </c>
      <c r="C38" s="66" t="s">
        <v>108</v>
      </c>
      <c r="I38" s="116" t="s">
        <v>23</v>
      </c>
      <c r="J38" s="117">
        <v>10</v>
      </c>
    </row>
    <row r="39" spans="2:10" x14ac:dyDescent="0.35">
      <c r="B39">
        <v>33</v>
      </c>
      <c r="C39" s="66" t="s">
        <v>109</v>
      </c>
      <c r="I39" s="116" t="s">
        <v>84</v>
      </c>
      <c r="J39" s="117">
        <v>27</v>
      </c>
    </row>
    <row r="40" spans="2:10" x14ac:dyDescent="0.35">
      <c r="B40">
        <v>34</v>
      </c>
      <c r="C40" s="66" t="s">
        <v>118</v>
      </c>
      <c r="I40" s="115" t="s">
        <v>229</v>
      </c>
      <c r="J40" s="117">
        <v>70</v>
      </c>
    </row>
    <row r="41" spans="2:10" x14ac:dyDescent="0.35">
      <c r="B41">
        <v>35</v>
      </c>
      <c r="C41" s="54" t="s">
        <v>111</v>
      </c>
      <c r="I41" s="116" t="s">
        <v>20</v>
      </c>
      <c r="J41" s="117">
        <v>9</v>
      </c>
    </row>
    <row r="42" spans="2:10" x14ac:dyDescent="0.35">
      <c r="B42">
        <v>36</v>
      </c>
      <c r="C42" s="66" t="s">
        <v>110</v>
      </c>
      <c r="I42" s="115" t="s">
        <v>58</v>
      </c>
      <c r="J42" s="117">
        <v>21</v>
      </c>
    </row>
    <row r="43" spans="2:10" x14ac:dyDescent="0.35">
      <c r="B43">
        <v>37</v>
      </c>
      <c r="C43" s="66" t="s">
        <v>115</v>
      </c>
      <c r="I43" s="116" t="s">
        <v>5</v>
      </c>
      <c r="J43" s="117">
        <v>2</v>
      </c>
    </row>
    <row r="44" spans="2:10" x14ac:dyDescent="0.35">
      <c r="B44">
        <v>38</v>
      </c>
      <c r="C44" s="66" t="s">
        <v>117</v>
      </c>
      <c r="I44" s="115" t="s">
        <v>202</v>
      </c>
      <c r="J44" s="117">
        <v>68</v>
      </c>
    </row>
    <row r="45" spans="2:10" x14ac:dyDescent="0.35">
      <c r="B45">
        <v>39</v>
      </c>
      <c r="C45" s="66" t="s">
        <v>119</v>
      </c>
      <c r="I45" s="115" t="s">
        <v>126</v>
      </c>
      <c r="J45" s="117">
        <v>44</v>
      </c>
    </row>
    <row r="46" spans="2:10" x14ac:dyDescent="0.35">
      <c r="B46">
        <v>40</v>
      </c>
      <c r="C46" s="66" t="s">
        <v>120</v>
      </c>
      <c r="I46" s="115" t="s">
        <v>10</v>
      </c>
      <c r="J46" s="117">
        <v>4</v>
      </c>
    </row>
    <row r="47" spans="2:10" x14ac:dyDescent="0.35">
      <c r="B47">
        <v>41</v>
      </c>
      <c r="C47" s="66" t="s">
        <v>121</v>
      </c>
      <c r="I47" s="234"/>
      <c r="J47" s="117"/>
    </row>
    <row r="48" spans="2:10" x14ac:dyDescent="0.35">
      <c r="B48">
        <v>42</v>
      </c>
      <c r="C48" s="66" t="s">
        <v>122</v>
      </c>
      <c r="I48" s="54"/>
      <c r="J48" s="117"/>
    </row>
    <row r="49" spans="2:10" x14ac:dyDescent="0.35">
      <c r="B49">
        <v>43</v>
      </c>
      <c r="C49" s="115" t="s">
        <v>123</v>
      </c>
      <c r="I49" s="116"/>
      <c r="J49" s="117"/>
    </row>
    <row r="50" spans="2:10" x14ac:dyDescent="0.35">
      <c r="B50">
        <v>44</v>
      </c>
      <c r="C50" s="66" t="s">
        <v>126</v>
      </c>
      <c r="I50" s="115"/>
      <c r="J50" s="117"/>
    </row>
    <row r="51" spans="2:10" x14ac:dyDescent="0.35">
      <c r="B51">
        <v>45</v>
      </c>
      <c r="C51" s="66" t="s">
        <v>124</v>
      </c>
      <c r="I51" s="116"/>
      <c r="J51" s="117"/>
    </row>
    <row r="52" spans="2:10" x14ac:dyDescent="0.35">
      <c r="B52">
        <v>46</v>
      </c>
      <c r="C52" s="66" t="s">
        <v>125</v>
      </c>
      <c r="I52" s="115"/>
      <c r="J52" s="117"/>
    </row>
    <row r="53" spans="2:10" x14ac:dyDescent="0.35">
      <c r="B53">
        <v>47</v>
      </c>
      <c r="C53" s="66" t="s">
        <v>127</v>
      </c>
      <c r="I53" s="116"/>
      <c r="J53" s="117"/>
    </row>
    <row r="54" spans="2:10" x14ac:dyDescent="0.35">
      <c r="B54">
        <v>48</v>
      </c>
      <c r="C54" s="66" t="s">
        <v>128</v>
      </c>
      <c r="I54" s="115"/>
      <c r="J54" s="117"/>
    </row>
    <row r="55" spans="2:10" x14ac:dyDescent="0.35">
      <c r="B55">
        <v>49</v>
      </c>
      <c r="C55" s="66" t="s">
        <v>129</v>
      </c>
      <c r="I55" s="115"/>
      <c r="J55" s="117"/>
    </row>
    <row r="56" spans="2:10" x14ac:dyDescent="0.35">
      <c r="B56">
        <v>50</v>
      </c>
      <c r="C56" s="66" t="s">
        <v>130</v>
      </c>
      <c r="I56" s="115"/>
      <c r="J56" s="117"/>
    </row>
    <row r="57" spans="2:10" x14ac:dyDescent="0.35">
      <c r="B57">
        <v>51</v>
      </c>
      <c r="C57" s="66" t="s">
        <v>150</v>
      </c>
      <c r="I57" s="115"/>
      <c r="J57" s="117"/>
    </row>
    <row r="58" spans="2:10" x14ac:dyDescent="0.35">
      <c r="B58">
        <v>52</v>
      </c>
      <c r="C58" s="66" t="s">
        <v>134</v>
      </c>
      <c r="I58" s="115"/>
      <c r="J58" s="117"/>
    </row>
    <row r="59" spans="2:10" x14ac:dyDescent="0.35">
      <c r="B59">
        <v>53</v>
      </c>
      <c r="C59" s="66" t="s">
        <v>145</v>
      </c>
      <c r="I59" s="115"/>
      <c r="J59" s="117"/>
    </row>
    <row r="60" spans="2:10" x14ac:dyDescent="0.35">
      <c r="B60">
        <v>54</v>
      </c>
      <c r="C60" s="66" t="s">
        <v>146</v>
      </c>
      <c r="I60" s="115"/>
      <c r="J60" s="117"/>
    </row>
    <row r="61" spans="2:10" x14ac:dyDescent="0.35">
      <c r="B61">
        <v>55</v>
      </c>
      <c r="C61" s="66" t="s">
        <v>147</v>
      </c>
      <c r="I61" s="116"/>
      <c r="J61" s="117"/>
    </row>
    <row r="62" spans="2:10" x14ac:dyDescent="0.35">
      <c r="B62">
        <v>56</v>
      </c>
      <c r="C62" s="66" t="s">
        <v>149</v>
      </c>
      <c r="I62" s="116"/>
      <c r="J62" s="117"/>
    </row>
    <row r="63" spans="2:10" x14ac:dyDescent="0.35">
      <c r="B63">
        <v>57</v>
      </c>
      <c r="C63" s="66" t="s">
        <v>151</v>
      </c>
      <c r="I63" s="115"/>
      <c r="J63" s="117"/>
    </row>
    <row r="64" spans="2:10" x14ac:dyDescent="0.35">
      <c r="B64">
        <v>58</v>
      </c>
      <c r="C64" s="115" t="s">
        <v>152</v>
      </c>
      <c r="I64" s="115"/>
      <c r="J64" s="117"/>
    </row>
    <row r="65" spans="2:10" x14ac:dyDescent="0.35">
      <c r="B65">
        <v>59</v>
      </c>
      <c r="C65" s="66" t="s">
        <v>153</v>
      </c>
      <c r="I65" s="115"/>
      <c r="J65" s="117"/>
    </row>
    <row r="66" spans="2:10" x14ac:dyDescent="0.35">
      <c r="B66">
        <v>60</v>
      </c>
      <c r="C66" s="66" t="s">
        <v>154</v>
      </c>
      <c r="I66" s="115"/>
      <c r="J66" s="117"/>
    </row>
    <row r="67" spans="2:10" x14ac:dyDescent="0.35">
      <c r="B67">
        <v>61</v>
      </c>
      <c r="C67" s="66" t="s">
        <v>155</v>
      </c>
      <c r="I67" s="115"/>
      <c r="J67" s="117"/>
    </row>
    <row r="68" spans="2:10" x14ac:dyDescent="0.35">
      <c r="B68">
        <v>62</v>
      </c>
      <c r="C68" s="66" t="s">
        <v>158</v>
      </c>
      <c r="I68" s="116"/>
      <c r="J68" s="117"/>
    </row>
    <row r="69" spans="2:10" x14ac:dyDescent="0.35">
      <c r="B69">
        <v>63</v>
      </c>
      <c r="C69" s="66" t="s">
        <v>159</v>
      </c>
      <c r="I69" s="115"/>
      <c r="J69" s="117"/>
    </row>
    <row r="70" spans="2:10" x14ac:dyDescent="0.35">
      <c r="B70">
        <v>64</v>
      </c>
      <c r="C70" s="66" t="s">
        <v>160</v>
      </c>
      <c r="I70" s="115"/>
      <c r="J70" s="117"/>
    </row>
    <row r="71" spans="2:10" x14ac:dyDescent="0.35">
      <c r="B71">
        <v>65</v>
      </c>
      <c r="C71" s="66" t="s">
        <v>175</v>
      </c>
      <c r="I71" s="115"/>
      <c r="J71" s="117"/>
    </row>
    <row r="72" spans="2:10" x14ac:dyDescent="0.35">
      <c r="B72">
        <v>66</v>
      </c>
      <c r="C72" s="66" t="s">
        <v>176</v>
      </c>
      <c r="I72" s="115"/>
      <c r="J72" s="117"/>
    </row>
    <row r="73" spans="2:10" x14ac:dyDescent="0.35">
      <c r="B73">
        <v>67</v>
      </c>
      <c r="C73" s="66" t="s">
        <v>201</v>
      </c>
      <c r="I73" s="115"/>
      <c r="J73" s="117"/>
    </row>
    <row r="74" spans="2:10" x14ac:dyDescent="0.35">
      <c r="B74">
        <v>68</v>
      </c>
      <c r="C74" s="66" t="s">
        <v>202</v>
      </c>
      <c r="I74" s="115"/>
      <c r="J74" s="117"/>
    </row>
    <row r="75" spans="2:10" x14ac:dyDescent="0.35">
      <c r="B75">
        <v>69</v>
      </c>
      <c r="C75" s="66" t="s">
        <v>203</v>
      </c>
      <c r="I75" s="115"/>
      <c r="J75" s="117"/>
    </row>
    <row r="76" spans="2:10" x14ac:dyDescent="0.35">
      <c r="B76">
        <v>70</v>
      </c>
      <c r="C76" s="66" t="s">
        <v>229</v>
      </c>
      <c r="I76" s="116"/>
      <c r="J76" s="117"/>
    </row>
    <row r="77" spans="2:10" x14ac:dyDescent="0.35">
      <c r="I77" s="117"/>
      <c r="J77" s="117"/>
    </row>
    <row r="78" spans="2:10" x14ac:dyDescent="0.35">
      <c r="I78" s="117"/>
    </row>
    <row r="79" spans="2:10" x14ac:dyDescent="0.35">
      <c r="I79" s="117"/>
    </row>
    <row r="80" spans="2:10" x14ac:dyDescent="0.35">
      <c r="I80" s="117"/>
    </row>
    <row r="81" spans="9:9" x14ac:dyDescent="0.35">
      <c r="I81" s="117"/>
    </row>
    <row r="82" spans="9:9" x14ac:dyDescent="0.35">
      <c r="I82" s="117"/>
    </row>
    <row r="83" spans="9:9" x14ac:dyDescent="0.35">
      <c r="I83" s="117"/>
    </row>
    <row r="84" spans="9:9" x14ac:dyDescent="0.35">
      <c r="I84" s="117"/>
    </row>
    <row r="85" spans="9:9" x14ac:dyDescent="0.35">
      <c r="I85" s="117"/>
    </row>
    <row r="86" spans="9:9" x14ac:dyDescent="0.35">
      <c r="I86" s="117"/>
    </row>
    <row r="87" spans="9:9" x14ac:dyDescent="0.35">
      <c r="I87" s="117"/>
    </row>
    <row r="88" spans="9:9" x14ac:dyDescent="0.35">
      <c r="I88" s="117"/>
    </row>
    <row r="89" spans="9:9" x14ac:dyDescent="0.35">
      <c r="I89" s="117"/>
    </row>
  </sheetData>
  <sortState ref="I7:J46">
    <sortCondition ref="I7"/>
  </sortState>
  <mergeCells count="12">
    <mergeCell ref="M5:M6"/>
    <mergeCell ref="B5:B6"/>
    <mergeCell ref="C5:C6"/>
    <mergeCell ref="J5:J6"/>
    <mergeCell ref="K5:K6"/>
    <mergeCell ref="L5:L6"/>
    <mergeCell ref="D5:D6"/>
    <mergeCell ref="E5:E6"/>
    <mergeCell ref="F5:F6"/>
    <mergeCell ref="G5:G6"/>
    <mergeCell ref="H5:H6"/>
    <mergeCell ref="I5:I6"/>
  </mergeCells>
  <dataValidations count="4">
    <dataValidation type="list" allowBlank="1" showInputMessage="1" showErrorMessage="1" sqref="D7 D9:D21 D23">
      <formula1>$D$7:$D$23</formula1>
    </dataValidation>
    <dataValidation type="list" allowBlank="1" showInputMessage="1" showErrorMessage="1" sqref="I29 C29">
      <formula1>$E$7:$E$22</formula1>
    </dataValidation>
    <dataValidation type="list" allowBlank="1" showInputMessage="1" showErrorMessage="1" sqref="F12:F13">
      <formula1>#REF!</formula1>
    </dataValidation>
    <dataValidation type="list" allowBlank="1" showInputMessage="1" showErrorMessage="1" sqref="K7:K9">
      <formula1>$K$7:$K$9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25" workbookViewId="0">
      <selection activeCell="J7" sqref="J7"/>
    </sheetView>
  </sheetViews>
  <sheetFormatPr defaultRowHeight="15.5" x14ac:dyDescent="0.35"/>
  <cols>
    <col min="1" max="1" width="3.4609375" style="80" customWidth="1"/>
    <col min="2" max="2" width="10.07421875" bestFit="1" customWidth="1"/>
    <col min="3" max="3" width="7.921875" customWidth="1"/>
    <col min="4" max="4" width="11.15234375" customWidth="1"/>
    <col min="5" max="5" width="23.69140625" customWidth="1"/>
    <col min="6" max="9" width="7.69140625" customWidth="1"/>
  </cols>
  <sheetData>
    <row r="1" spans="1:9" ht="15.5" customHeight="1" x14ac:dyDescent="0.35">
      <c r="A1" s="339">
        <v>45081</v>
      </c>
      <c r="B1" s="339"/>
      <c r="C1" s="339"/>
      <c r="D1" s="338">
        <f>COUNTA(B4:B99)</f>
        <v>39</v>
      </c>
      <c r="E1" s="338" t="s">
        <v>43</v>
      </c>
    </row>
    <row r="2" spans="1:9" ht="15.5" customHeight="1" x14ac:dyDescent="0.35">
      <c r="A2" s="339"/>
      <c r="B2" s="339"/>
      <c r="C2" s="339"/>
      <c r="D2" s="338"/>
      <c r="E2" s="338"/>
    </row>
    <row r="3" spans="1:9" x14ac:dyDescent="0.35">
      <c r="A3" s="80" t="s">
        <v>132</v>
      </c>
      <c r="B3" s="80" t="s">
        <v>0</v>
      </c>
      <c r="C3" s="80" t="s">
        <v>2</v>
      </c>
      <c r="D3" s="80" t="s">
        <v>1</v>
      </c>
      <c r="E3" s="80" t="s">
        <v>79</v>
      </c>
      <c r="F3" s="81" t="s">
        <v>200</v>
      </c>
      <c r="G3" s="81" t="s">
        <v>199</v>
      </c>
      <c r="H3" s="80" t="s">
        <v>27</v>
      </c>
      <c r="I3" s="80" t="s">
        <v>148</v>
      </c>
    </row>
    <row r="4" spans="1:9" ht="15.5" customHeight="1" x14ac:dyDescent="0.35">
      <c r="A4" s="82">
        <v>2</v>
      </c>
      <c r="B4" s="79" t="str">
        <f>VLOOKUP($A4,Record!$B$8:'Record'!$Y$100,2,0)</f>
        <v>Toni Ann</v>
      </c>
      <c r="C4" s="79" t="str">
        <f>VLOOKUP($A4,Record!$B$8:'Record'!$Y$100,3,0)</f>
        <v>Female</v>
      </c>
      <c r="D4" s="161">
        <f>VLOOKUP($A4,Record!$B$8:'Record'!$Y$100,4,0)</f>
        <v>43807</v>
      </c>
      <c r="E4" s="161" t="str">
        <f ca="1">VLOOKUP($A4,Record!$B$8:'Record'!$Y$100,13,0)</f>
        <v xml:space="preserve">3 Years 5 Month 29 Days </v>
      </c>
      <c r="F4" s="78"/>
      <c r="G4" s="78"/>
      <c r="H4" s="78"/>
      <c r="I4" s="78"/>
    </row>
    <row r="5" spans="1:9" ht="15.5" customHeight="1" x14ac:dyDescent="0.35">
      <c r="A5" s="82">
        <v>5</v>
      </c>
      <c r="B5" s="79" t="str">
        <f>VLOOKUP($A5,Record!$B$8:'Record'!$Y$100,2,0)</f>
        <v>Natasha</v>
      </c>
      <c r="C5" s="79" t="str">
        <f>VLOOKUP($A5,Record!$B$8:'Record'!$Y$100,3,0)</f>
        <v>Female</v>
      </c>
      <c r="D5" s="161">
        <f>VLOOKUP($A5,Record!$B$8:'Record'!$Y$100,4,0)</f>
        <v>43823</v>
      </c>
      <c r="E5" s="161" t="str">
        <f ca="1">VLOOKUP($A5,Record!$B$8:'Record'!$Y$100,13,0)</f>
        <v xml:space="preserve">3 Years 5 Month 13 Days </v>
      </c>
      <c r="F5" s="78"/>
      <c r="G5" s="78"/>
      <c r="H5" s="78"/>
      <c r="I5" s="78"/>
    </row>
    <row r="6" spans="1:9" ht="15.5" customHeight="1" x14ac:dyDescent="0.35">
      <c r="A6" s="82">
        <v>6</v>
      </c>
      <c r="B6" s="79" t="str">
        <f>VLOOKUP($A6,Record!$B$8:'Record'!$Y$100,2,0)</f>
        <v>Lisa</v>
      </c>
      <c r="C6" s="79" t="str">
        <f>VLOOKUP($A6,Record!$B$8:'Record'!$Y$100,3,0)</f>
        <v>Female</v>
      </c>
      <c r="D6" s="161">
        <f>VLOOKUP($A6,Record!$B$8:'Record'!$Y$100,4,0)</f>
        <v>43823</v>
      </c>
      <c r="E6" s="161" t="str">
        <f ca="1">VLOOKUP($A6,Record!$B$8:'Record'!$Y$100,13,0)</f>
        <v xml:space="preserve">3 Years 5 Month 13 Days </v>
      </c>
      <c r="F6" s="78"/>
      <c r="G6" s="78"/>
      <c r="H6" s="78"/>
      <c r="I6" s="78"/>
    </row>
    <row r="7" spans="1:9" ht="15.5" customHeight="1" x14ac:dyDescent="0.35">
      <c r="A7" s="82">
        <v>12</v>
      </c>
      <c r="B7" s="79" t="str">
        <f>VLOOKUP($A7,Record!$B$8:'Record'!$Y$100,2,0)</f>
        <v>Dell</v>
      </c>
      <c r="C7" s="79" t="str">
        <f>VLOOKUP($A7,Record!$B$8:'Record'!$Y$100,3,0)</f>
        <v>Female</v>
      </c>
      <c r="D7" s="161">
        <f>VLOOKUP($A7,Record!$B$8:'Record'!$Y$100,4,0)</f>
        <v>43974</v>
      </c>
      <c r="E7" s="161" t="str">
        <f ca="1">VLOOKUP($A7,Record!$B$8:'Record'!$Y$100,13,0)</f>
        <v xml:space="preserve">3 Years 0 Month 14 Days </v>
      </c>
      <c r="F7" s="78"/>
      <c r="G7" s="78"/>
      <c r="H7" s="78"/>
      <c r="I7" s="78"/>
    </row>
    <row r="8" spans="1:9" ht="15.5" customHeight="1" x14ac:dyDescent="0.35">
      <c r="A8" s="82">
        <v>19</v>
      </c>
      <c r="B8" s="79" t="str">
        <f>VLOOKUP($A8,Record!$B$8:'Record'!$Y$100,2,0)</f>
        <v>Jami</v>
      </c>
      <c r="C8" s="79" t="str">
        <f>VLOOKUP($A8,Record!$B$8:'Record'!$Y$100,3,0)</f>
        <v>Male</v>
      </c>
      <c r="D8" s="161">
        <f>VLOOKUP($A8,Record!$B$8:'Record'!$Y$100,4,0)</f>
        <v>44084</v>
      </c>
      <c r="E8" s="161" t="str">
        <f ca="1">VLOOKUP($A8,Record!$B$8:'Record'!$Y$100,13,0)</f>
        <v xml:space="preserve">2 Years 8 Month 27 Days </v>
      </c>
      <c r="F8" s="78"/>
      <c r="G8" s="78"/>
      <c r="H8" s="78"/>
      <c r="I8" s="78"/>
    </row>
    <row r="9" spans="1:9" ht="15.5" customHeight="1" x14ac:dyDescent="0.35">
      <c r="A9" s="82">
        <v>20</v>
      </c>
      <c r="B9" s="79" t="str">
        <f>VLOOKUP($A9,Record!$B$8:'Record'!$Y$100,2,0)</f>
        <v>Apache</v>
      </c>
      <c r="C9" s="79" t="str">
        <f>VLOOKUP($A9,Record!$B$8:'Record'!$Y$100,3,0)</f>
        <v>Female</v>
      </c>
      <c r="D9" s="161">
        <f>VLOOKUP($A9,Record!$B$8:'Record'!$Y$100,4,0)</f>
        <v>44108</v>
      </c>
      <c r="E9" s="161" t="str">
        <f ca="1">VLOOKUP($A9,Record!$B$8:'Record'!$Y$100,13,0)</f>
        <v xml:space="preserve">2 Years 8 Month 2 Days </v>
      </c>
      <c r="F9" s="78"/>
      <c r="G9" s="78"/>
      <c r="H9" s="78"/>
      <c r="I9" s="78"/>
    </row>
    <row r="10" spans="1:9" ht="15.5" customHeight="1" x14ac:dyDescent="0.35">
      <c r="A10" s="82">
        <v>22</v>
      </c>
      <c r="B10" s="79" t="str">
        <f>VLOOKUP($A10,Record!$B$8:'Record'!$Y$100,2,0)</f>
        <v>Lady-Pink</v>
      </c>
      <c r="C10" s="79" t="str">
        <f>VLOOKUP($A10,Record!$B$8:'Record'!$Y$100,3,0)</f>
        <v>Female</v>
      </c>
      <c r="D10" s="161">
        <f>VLOOKUP($A10,Record!$B$8:'Record'!$Y$100,4,0)</f>
        <v>44108</v>
      </c>
      <c r="E10" s="161" t="str">
        <f ca="1">VLOOKUP($A10,Record!$B$8:'Record'!$Y$100,13,0)</f>
        <v xml:space="preserve">2 Years 8 Month 2 Days </v>
      </c>
      <c r="F10" s="78"/>
      <c r="G10" s="78"/>
      <c r="H10" s="78"/>
      <c r="I10" s="78"/>
    </row>
    <row r="11" spans="1:9" ht="15.5" customHeight="1" x14ac:dyDescent="0.35">
      <c r="A11" s="82">
        <v>23</v>
      </c>
      <c r="B11" s="79" t="str">
        <f>VLOOKUP($A11,Record!$B$8:'Record'!$Y$100,2,0)</f>
        <v>Cle-O</v>
      </c>
      <c r="C11" s="79" t="str">
        <f>VLOOKUP($A11,Record!$B$8:'Record'!$Y$100,3,0)</f>
        <v>Female</v>
      </c>
      <c r="D11" s="161">
        <f>VLOOKUP($A11,Record!$B$8:'Record'!$Y$100,4,0)</f>
        <v>44108</v>
      </c>
      <c r="E11" s="161" t="str">
        <f ca="1">VLOOKUP($A11,Record!$B$8:'Record'!$Y$100,13,0)</f>
        <v xml:space="preserve">2 Years 8 Month 2 Days </v>
      </c>
      <c r="F11" s="78"/>
      <c r="G11" s="78"/>
      <c r="H11" s="78"/>
      <c r="I11" s="78"/>
    </row>
    <row r="12" spans="1:9" ht="15.5" customHeight="1" x14ac:dyDescent="0.35">
      <c r="A12" s="82">
        <v>27</v>
      </c>
      <c r="B12" s="79" t="str">
        <f>VLOOKUP($A12,Record!$B$8:'Record'!$Y$100,2,0)</f>
        <v>Praery</v>
      </c>
      <c r="C12" s="79" t="str">
        <f>VLOOKUP($A12,Record!$B$8:'Record'!$Y$100,3,0)</f>
        <v>Female</v>
      </c>
      <c r="D12" s="161">
        <f>VLOOKUP($A12,Record!$B$8:'Record'!$Y$100,4,0)</f>
        <v>44128</v>
      </c>
      <c r="E12" s="161" t="str">
        <f ca="1">VLOOKUP($A12,Record!$B$8:'Record'!$Y$100,13,0)</f>
        <v xml:space="preserve">2 Years 7 Month 13 Days </v>
      </c>
      <c r="F12" s="78"/>
      <c r="G12" s="78"/>
      <c r="H12" s="78"/>
      <c r="I12" s="78"/>
    </row>
    <row r="13" spans="1:9" ht="15.5" customHeight="1" x14ac:dyDescent="0.35">
      <c r="A13" s="82">
        <v>34</v>
      </c>
      <c r="B13" s="79" t="str">
        <f>VLOOKUP($A13,Record!$B$8:'Record'!$Y$100,2,0)</f>
        <v>Miky</v>
      </c>
      <c r="C13" s="79" t="str">
        <f>VLOOKUP($A13,Record!$B$8:'Record'!$Y$100,3,0)</f>
        <v>Male</v>
      </c>
      <c r="D13" s="161">
        <f>VLOOKUP($A13,Record!$B$8:'Record'!$Y$100,4,0)</f>
        <v>44321</v>
      </c>
      <c r="E13" s="161" t="str">
        <f ca="1">VLOOKUP($A13,Record!$B$8:'Record'!$Y$100,13,0)</f>
        <v xml:space="preserve">2 Years 1 Month 1 Days </v>
      </c>
      <c r="F13" s="78"/>
      <c r="G13" s="78"/>
      <c r="H13" s="78"/>
      <c r="I13" s="78"/>
    </row>
    <row r="14" spans="1:9" ht="15.5" customHeight="1" x14ac:dyDescent="0.35">
      <c r="A14" s="82">
        <v>37</v>
      </c>
      <c r="B14" s="79" t="str">
        <f>VLOOKUP($A14,Record!$B$8:'Record'!$Y$100,2,0)</f>
        <v>Pancake</v>
      </c>
      <c r="C14" s="79" t="str">
        <f>VLOOKUP($A14,Record!$B$8:'Record'!$Y$100,3,0)</f>
        <v>Female</v>
      </c>
      <c r="D14" s="161">
        <f>VLOOKUP($A14,Record!$B$8:'Record'!$Y$100,4,0)</f>
        <v>44328</v>
      </c>
      <c r="E14" s="161" t="str">
        <f ca="1">VLOOKUP($A14,Record!$B$8:'Record'!$Y$100,13,0)</f>
        <v xml:space="preserve">2 Years 0 Month 25 Days </v>
      </c>
      <c r="F14" s="78"/>
      <c r="G14" s="78"/>
      <c r="H14" s="78"/>
      <c r="I14" s="78"/>
    </row>
    <row r="15" spans="1:9" ht="15.5" customHeight="1" x14ac:dyDescent="0.35">
      <c r="A15" s="82">
        <v>42</v>
      </c>
      <c r="B15" s="79" t="str">
        <f>VLOOKUP($A15,Record!$B$8:'Record'!$Y$100,2,0)</f>
        <v>Bella</v>
      </c>
      <c r="C15" s="79" t="str">
        <f>VLOOKUP($A15,Record!$B$8:'Record'!$Y$100,3,0)</f>
        <v>Female</v>
      </c>
      <c r="D15" s="161">
        <f>VLOOKUP($A15,Record!$B$8:'Record'!$Y$100,4,0)</f>
        <v>44422</v>
      </c>
      <c r="E15" s="161" t="str">
        <f ca="1">VLOOKUP($A15,Record!$B$8:'Record'!$Y$100,13,0)</f>
        <v xml:space="preserve">1 Years 9 Month 23 Days </v>
      </c>
      <c r="F15" s="78"/>
      <c r="G15" s="78"/>
      <c r="H15" s="78"/>
      <c r="I15" s="78"/>
    </row>
    <row r="16" spans="1:9" ht="15.5" customHeight="1" x14ac:dyDescent="0.35">
      <c r="A16" s="82">
        <v>44</v>
      </c>
      <c r="B16" s="79" t="str">
        <f>VLOOKUP($A16,Record!$B$8:'Record'!$Y$100,2,0)</f>
        <v>Ying-Jan</v>
      </c>
      <c r="C16" s="79" t="str">
        <f>VLOOKUP($A16,Record!$B$8:'Record'!$Y$100,3,0)</f>
        <v>Female</v>
      </c>
      <c r="D16" s="161">
        <f>VLOOKUP($A16,Record!$B$8:'Record'!$Y$100,4,0)</f>
        <v>44572</v>
      </c>
      <c r="E16" s="161" t="str">
        <f ca="1">VLOOKUP($A16,Record!$B$8:'Record'!$Y$100,13,0)</f>
        <v xml:space="preserve">1 Years 4 Month 26 Days </v>
      </c>
      <c r="F16" s="78"/>
      <c r="G16" s="78"/>
      <c r="H16" s="78"/>
      <c r="I16" s="78"/>
    </row>
    <row r="17" spans="1:9" ht="15.5" customHeight="1" x14ac:dyDescent="0.35">
      <c r="A17" s="82">
        <v>47</v>
      </c>
      <c r="B17" s="79" t="str">
        <f>VLOOKUP($A17,Record!$B$8:'Record'!$Y$100,2,0)</f>
        <v>Bovi</v>
      </c>
      <c r="C17" s="79" t="str">
        <f>VLOOKUP($A17,Record!$B$8:'Record'!$Y$100,3,0)</f>
        <v>Female</v>
      </c>
      <c r="D17" s="161">
        <f>VLOOKUP($A17,Record!$B$8:'Record'!$Y$100,4,0)</f>
        <v>44581</v>
      </c>
      <c r="E17" s="161" t="str">
        <f ca="1">VLOOKUP($A17,Record!$B$8:'Record'!$Y$100,13,0)</f>
        <v xml:space="preserve">1 Years 4 Month 17 Days </v>
      </c>
      <c r="F17" s="78"/>
      <c r="G17" s="78"/>
      <c r="H17" s="78"/>
      <c r="I17" s="78"/>
    </row>
    <row r="18" spans="1:9" ht="15.5" customHeight="1" x14ac:dyDescent="0.35">
      <c r="A18" s="82">
        <v>49</v>
      </c>
      <c r="B18" s="79" t="str">
        <f>VLOOKUP($A18,Record!$B$8:'Record'!$Y$100,2,0)</f>
        <v>Natalie</v>
      </c>
      <c r="C18" s="79" t="str">
        <f>VLOOKUP($A18,Record!$B$8:'Record'!$Y$100,3,0)</f>
        <v>Female</v>
      </c>
      <c r="D18" s="161">
        <f>VLOOKUP($A18,Record!$B$8:'Record'!$Y$100,4,0)</f>
        <v>44581</v>
      </c>
      <c r="E18" s="161" t="str">
        <f ca="1">VLOOKUP($A18,Record!$B$8:'Record'!$Y$100,13,0)</f>
        <v xml:space="preserve">1 Years 4 Month 17 Days </v>
      </c>
      <c r="F18" s="78"/>
      <c r="G18" s="78"/>
      <c r="H18" s="78"/>
      <c r="I18" s="78"/>
    </row>
    <row r="19" spans="1:9" ht="15.5" customHeight="1" x14ac:dyDescent="0.35">
      <c r="A19" s="82">
        <v>50</v>
      </c>
      <c r="B19" s="79" t="str">
        <f>VLOOKUP($A19,Record!$B$8:'Record'!$Y$100,2,0)</f>
        <v>Brownie</v>
      </c>
      <c r="C19" s="79" t="str">
        <f>VLOOKUP($A19,Record!$B$8:'Record'!$Y$100,3,0)</f>
        <v>Female</v>
      </c>
      <c r="D19" s="161">
        <f>VLOOKUP($A19,Record!$B$8:'Record'!$Y$100,4,0)</f>
        <v>44597</v>
      </c>
      <c r="E19" s="161" t="str">
        <f ca="1">VLOOKUP($A19,Record!$B$8:'Record'!$Y$100,13,0)</f>
        <v xml:space="preserve">1 Years 4 Month 1 Days </v>
      </c>
      <c r="F19" s="78"/>
      <c r="G19" s="78"/>
      <c r="H19" s="78"/>
      <c r="I19" s="78"/>
    </row>
    <row r="20" spans="1:9" ht="15.5" customHeight="1" x14ac:dyDescent="0.35">
      <c r="A20" s="82">
        <v>51</v>
      </c>
      <c r="B20" s="79" t="str">
        <f>VLOOKUP($A20,Record!$B$8:'Record'!$Y$100,2,0)</f>
        <v>Beauty</v>
      </c>
      <c r="C20" s="79" t="str">
        <f>VLOOKUP($A20,Record!$B$8:'Record'!$Y$100,3,0)</f>
        <v>Female</v>
      </c>
      <c r="D20" s="161">
        <f>VLOOKUP($A20,Record!$B$8:'Record'!$Y$100,4,0)</f>
        <v>44613</v>
      </c>
      <c r="E20" s="161" t="str">
        <f ca="1">VLOOKUP($A20,Record!$B$8:'Record'!$Y$100,13,0)</f>
        <v xml:space="preserve">1 Years 3 Month 16 Days </v>
      </c>
      <c r="F20" s="78"/>
      <c r="G20" s="78"/>
      <c r="H20" s="78"/>
      <c r="I20" s="78"/>
    </row>
    <row r="21" spans="1:9" ht="15.5" customHeight="1" x14ac:dyDescent="0.35">
      <c r="A21" s="82">
        <v>52</v>
      </c>
      <c r="B21" s="79" t="str">
        <f>VLOOKUP($A21,Record!$B$8:'Record'!$Y$100,2,0)</f>
        <v>Charlotte</v>
      </c>
      <c r="C21" s="79" t="str">
        <f>VLOOKUP($A21,Record!$B$8:'Record'!$Y$100,3,0)</f>
        <v>Female</v>
      </c>
      <c r="D21" s="161">
        <f>VLOOKUP($A21,Record!$B$8:'Record'!$Y$100,4,0)</f>
        <v>44622</v>
      </c>
      <c r="E21" s="161" t="str">
        <f ca="1">VLOOKUP($A21,Record!$B$8:'Record'!$Y$100,13,0)</f>
        <v xml:space="preserve">1 Years 3 Month 4 Days </v>
      </c>
      <c r="F21" s="78"/>
      <c r="G21" s="78"/>
      <c r="H21" s="78"/>
      <c r="I21" s="78"/>
    </row>
    <row r="22" spans="1:9" ht="15.5" customHeight="1" x14ac:dyDescent="0.35">
      <c r="A22" s="82">
        <v>53</v>
      </c>
      <c r="B22" s="79" t="str">
        <f>VLOOKUP($A22,Record!$B$8:'Record'!$Y$100,2,0)</f>
        <v>Tiny</v>
      </c>
      <c r="C22" s="79" t="str">
        <f>VLOOKUP($A22,Record!$B$8:'Record'!$Y$100,3,0)</f>
        <v>Male</v>
      </c>
      <c r="D22" s="161">
        <f>VLOOKUP($A22,Record!$B$8:'Record'!$Y$100,4,0)</f>
        <v>44708</v>
      </c>
      <c r="E22" s="161" t="str">
        <f ca="1">VLOOKUP($A22,Record!$B$8:'Record'!$Y$100,13,0)</f>
        <v xml:space="preserve">1 Years 0 Month 10 Days </v>
      </c>
      <c r="F22" s="78"/>
      <c r="G22" s="78"/>
      <c r="H22" s="78"/>
      <c r="I22" s="78"/>
    </row>
    <row r="23" spans="1:9" ht="15.5" customHeight="1" x14ac:dyDescent="0.35">
      <c r="A23" s="82">
        <v>55</v>
      </c>
      <c r="B23" s="79" t="str">
        <f>VLOOKUP($A23,Record!$B$8:'Record'!$Y$100,2,0)</f>
        <v>A-Care</v>
      </c>
      <c r="C23" s="79" t="str">
        <f>VLOOKUP($A23,Record!$B$8:'Record'!$Y$100,3,0)</f>
        <v>Male</v>
      </c>
      <c r="D23" s="161">
        <f>VLOOKUP($A23,Record!$B$8:'Record'!$Y$100,4,0)</f>
        <v>44727</v>
      </c>
      <c r="E23" s="161" t="str">
        <f ca="1">VLOOKUP($A23,Record!$B$8:'Record'!$Y$100,13,0)</f>
        <v xml:space="preserve">0 Years 11 Month 22 Days </v>
      </c>
      <c r="F23" s="78"/>
      <c r="G23" s="78"/>
      <c r="H23" s="78"/>
      <c r="I23" s="78"/>
    </row>
    <row r="24" spans="1:9" ht="15.5" customHeight="1" x14ac:dyDescent="0.35">
      <c r="A24" s="82">
        <v>56</v>
      </c>
      <c r="B24" s="79" t="str">
        <f>VLOOKUP($A24,Record!$B$8:'Record'!$Y$100,2,0)</f>
        <v>Julie</v>
      </c>
      <c r="C24" s="79" t="str">
        <f>VLOOKUP($A24,Record!$B$8:'Record'!$Y$100,3,0)</f>
        <v>Female</v>
      </c>
      <c r="D24" s="161">
        <f>VLOOKUP($A24,Record!$B$8:'Record'!$Y$100,4,0)</f>
        <v>44752</v>
      </c>
      <c r="E24" s="161" t="str">
        <f ca="1">VLOOKUP($A24,Record!$B$8:'Record'!$Y$100,13,0)</f>
        <v xml:space="preserve">0 Years 10 Month 27 Days </v>
      </c>
      <c r="F24" s="78"/>
      <c r="G24" s="78"/>
      <c r="H24" s="78"/>
      <c r="I24" s="78"/>
    </row>
    <row r="25" spans="1:9" ht="15.5" customHeight="1" x14ac:dyDescent="0.35">
      <c r="A25" s="82">
        <v>57</v>
      </c>
      <c r="B25" s="79" t="str">
        <f>VLOOKUP($A25,Record!$B$8:'Record'!$Y$100,2,0)</f>
        <v>Charlie</v>
      </c>
      <c r="C25" s="79" t="str">
        <f>VLOOKUP($A25,Record!$B$8:'Record'!$Y$100,3,0)</f>
        <v>Male</v>
      </c>
      <c r="D25" s="161">
        <f>VLOOKUP($A25,Record!$B$8:'Record'!$Y$100,4,0)</f>
        <v>44846</v>
      </c>
      <c r="E25" s="161" t="str">
        <f ca="1">VLOOKUP($A25,Record!$B$8:'Record'!$Y$100,13,0)</f>
        <v xml:space="preserve">0 Years 7 Month 25 Days </v>
      </c>
      <c r="F25" s="78"/>
      <c r="G25" s="78"/>
      <c r="H25" s="78"/>
      <c r="I25" s="78"/>
    </row>
    <row r="26" spans="1:9" ht="15.5" customHeight="1" x14ac:dyDescent="0.35">
      <c r="A26" s="82">
        <v>58</v>
      </c>
      <c r="B26" s="79" t="str">
        <f>VLOOKUP($A26,Record!$B$8:'Record'!$Y$100,2,0)</f>
        <v>Bobby</v>
      </c>
      <c r="C26" s="79" t="str">
        <f>VLOOKUP($A26,Record!$B$8:'Record'!$Y$100,3,0)</f>
        <v>Male</v>
      </c>
      <c r="D26" s="161">
        <f>VLOOKUP($A26,Record!$B$8:'Record'!$Y$100,4,0)</f>
        <v>44850</v>
      </c>
      <c r="E26" s="161" t="str">
        <f ca="1">VLOOKUP($A26,Record!$B$8:'Record'!$Y$100,13,0)</f>
        <v xml:space="preserve">0 Years 7 Month 21 Days </v>
      </c>
      <c r="F26" s="78"/>
      <c r="G26" s="78"/>
      <c r="H26" s="78"/>
      <c r="I26" s="78"/>
    </row>
    <row r="27" spans="1:9" ht="15.5" customHeight="1" x14ac:dyDescent="0.35">
      <c r="A27" s="235">
        <v>59</v>
      </c>
      <c r="B27" s="79" t="str">
        <f>VLOOKUP($A27,Record!$B$8:'Record'!$Y$100,2,0)</f>
        <v>Ginnie</v>
      </c>
      <c r="C27" s="79" t="str">
        <f>VLOOKUP($A27,Record!$B$8:'Record'!$Y$100,3,0)</f>
        <v>Female</v>
      </c>
      <c r="D27" s="161">
        <f>VLOOKUP($A27,Record!$B$8:'Record'!$Y$100,4,0)</f>
        <v>44933</v>
      </c>
      <c r="E27" s="161" t="str">
        <f ca="1">VLOOKUP($A27,Record!$B$8:'Record'!$Y$100,13,0)</f>
        <v xml:space="preserve">0 Years 4 Month 30 Days </v>
      </c>
      <c r="F27" s="78"/>
      <c r="G27" s="78"/>
      <c r="H27" s="78"/>
      <c r="I27" s="78"/>
    </row>
    <row r="28" spans="1:9" ht="15.5" customHeight="1" x14ac:dyDescent="0.35">
      <c r="A28" s="235">
        <v>60</v>
      </c>
      <c r="B28" s="79" t="str">
        <f>VLOOKUP($A28,Record!$B$8:'Record'!$Y$100,2,0)</f>
        <v>Dollar</v>
      </c>
      <c r="C28" s="79" t="str">
        <f>VLOOKUP($A28,Record!$B$8:'Record'!$Y$100,3,0)</f>
        <v>Male</v>
      </c>
      <c r="D28" s="161">
        <f>VLOOKUP($A28,Record!$B$8:'Record'!$Y$100,4,0)</f>
        <v>44942</v>
      </c>
      <c r="E28" s="161" t="str">
        <f ca="1">VLOOKUP($A28,Record!$B$8:'Record'!$Y$100,13,0)</f>
        <v xml:space="preserve">0 Years 4 Month 21 Days </v>
      </c>
      <c r="F28" s="78"/>
      <c r="G28" s="78"/>
      <c r="H28" s="78"/>
      <c r="I28" s="78"/>
    </row>
    <row r="29" spans="1:9" ht="15.5" customHeight="1" x14ac:dyDescent="0.35">
      <c r="A29" s="235">
        <v>61</v>
      </c>
      <c r="B29" s="79" t="str">
        <f>VLOOKUP($A29,Record!$B$8:'Record'!$Y$100,2,0)</f>
        <v>Euro</v>
      </c>
      <c r="C29" s="79" t="str">
        <f>VLOOKUP($A29,Record!$B$8:'Record'!$Y$100,3,0)</f>
        <v>Male</v>
      </c>
      <c r="D29" s="161">
        <f>VLOOKUP($A29,Record!$B$8:'Record'!$Y$100,4,0)</f>
        <v>44942</v>
      </c>
      <c r="E29" s="161" t="str">
        <f ca="1">VLOOKUP($A29,Record!$B$8:'Record'!$Y$100,13,0)</f>
        <v xml:space="preserve">0 Years 4 Month 21 Days </v>
      </c>
      <c r="F29" s="78"/>
      <c r="G29" s="78"/>
      <c r="H29" s="78"/>
      <c r="I29" s="78"/>
    </row>
    <row r="30" spans="1:9" ht="15.5" customHeight="1" x14ac:dyDescent="0.35">
      <c r="A30" s="235">
        <v>62</v>
      </c>
      <c r="B30" s="79" t="str">
        <f>VLOOKUP($A30,Record!$B$8:'Record'!$Y$100,2,0)</f>
        <v>Milli</v>
      </c>
      <c r="C30" s="79" t="str">
        <f>VLOOKUP($A30,Record!$B$8:'Record'!$Y$100,3,0)</f>
        <v>Female</v>
      </c>
      <c r="D30" s="161">
        <f>VLOOKUP($A30,Record!$B$8:'Record'!$Y$100,4,0)</f>
        <v>44942</v>
      </c>
      <c r="E30" s="161" t="str">
        <f ca="1">VLOOKUP($A30,Record!$B$8:'Record'!$Y$100,13,0)</f>
        <v xml:space="preserve">0 Years 4 Month 21 Days </v>
      </c>
      <c r="F30" s="78"/>
      <c r="G30" s="78"/>
      <c r="H30" s="78"/>
      <c r="I30" s="78"/>
    </row>
    <row r="31" spans="1:9" ht="15.5" customHeight="1" x14ac:dyDescent="0.35">
      <c r="A31" s="235">
        <v>63</v>
      </c>
      <c r="B31" s="79" t="str">
        <f>VLOOKUP($A31,Record!$B$8:'Record'!$Y$100,2,0)</f>
        <v>Million</v>
      </c>
      <c r="C31" s="79" t="str">
        <f>VLOOKUP($A31,Record!$B$8:'Record'!$Y$100,3,0)</f>
        <v>Female</v>
      </c>
      <c r="D31" s="161">
        <f>VLOOKUP($A31,Record!$B$8:'Record'!$Y$100,4,0)</f>
        <v>44942</v>
      </c>
      <c r="E31" s="161" t="str">
        <f ca="1">VLOOKUP($A31,Record!$B$8:'Record'!$Y$100,13,0)</f>
        <v xml:space="preserve">0 Years 4 Month 21 Days </v>
      </c>
      <c r="F31" s="78"/>
      <c r="G31" s="78"/>
      <c r="H31" s="78"/>
      <c r="I31" s="78"/>
    </row>
    <row r="32" spans="1:9" ht="15.5" customHeight="1" x14ac:dyDescent="0.35">
      <c r="A32" s="235">
        <v>64</v>
      </c>
      <c r="B32" s="79" t="str">
        <f>VLOOKUP($A32,Record!$B$8:'Record'!$Y$100,2,0)</f>
        <v>Belli</v>
      </c>
      <c r="C32" s="79" t="str">
        <f>VLOOKUP($A32,Record!$B$8:'Record'!$Y$100,3,0)</f>
        <v>Female</v>
      </c>
      <c r="D32" s="161">
        <f>VLOOKUP($A32,Record!$B$8:'Record'!$Y$100,4,0)</f>
        <v>44944</v>
      </c>
      <c r="E32" s="161" t="str">
        <f ca="1">VLOOKUP($A32,Record!$B$8:'Record'!$Y$100,13,0)</f>
        <v xml:space="preserve">0 Years 4 Month 19 Days </v>
      </c>
      <c r="F32" s="78"/>
      <c r="G32" s="78"/>
      <c r="H32" s="78"/>
      <c r="I32" s="78"/>
    </row>
    <row r="33" spans="1:9" ht="15.5" customHeight="1" x14ac:dyDescent="0.35">
      <c r="A33" s="235">
        <v>65</v>
      </c>
      <c r="B33" s="79" t="str">
        <f>VLOOKUP($A33,Record!$B$8:'Record'!$Y$100,2,0)</f>
        <v>Becky</v>
      </c>
      <c r="C33" s="79" t="str">
        <f>VLOOKUP($A33,Record!$B$8:'Record'!$Y$100,3,0)</f>
        <v>Female</v>
      </c>
      <c r="D33" s="161">
        <f>VLOOKUP($A33,Record!$B$8:'Record'!$Y$100,4,0)</f>
        <v>44950</v>
      </c>
      <c r="E33" s="161" t="str">
        <f ca="1">VLOOKUP($A33,Record!$B$8:'Record'!$Y$100,13,0)</f>
        <v xml:space="preserve">0 Years 4 Month 13 Days </v>
      </c>
      <c r="F33" s="78"/>
      <c r="G33" s="78"/>
      <c r="H33" s="78"/>
      <c r="I33" s="78"/>
    </row>
    <row r="34" spans="1:9" ht="15.5" customHeight="1" x14ac:dyDescent="0.35">
      <c r="A34" s="235">
        <v>66</v>
      </c>
      <c r="B34" s="79" t="str">
        <f>VLOOKUP($A34,Record!$B$8:'Record'!$Y$100,2,0)</f>
        <v>Copper</v>
      </c>
      <c r="C34" s="79" t="str">
        <f>VLOOKUP($A34,Record!$B$8:'Record'!$Y$100,3,0)</f>
        <v>Male</v>
      </c>
      <c r="D34" s="161">
        <f>VLOOKUP($A34,Record!$B$8:'Record'!$Y$100,4,0)</f>
        <v>44950</v>
      </c>
      <c r="E34" s="161" t="str">
        <f ca="1">VLOOKUP($A34,Record!$B$8:'Record'!$Y$100,13,0)</f>
        <v xml:space="preserve">0 Years 4 Month 13 Days </v>
      </c>
      <c r="F34" s="78"/>
      <c r="G34" s="78"/>
      <c r="H34" s="78"/>
      <c r="I34" s="78"/>
    </row>
    <row r="35" spans="1:9" x14ac:dyDescent="0.35">
      <c r="A35" s="235">
        <v>67</v>
      </c>
      <c r="B35" s="79" t="str">
        <f>VLOOKUP($A35,Record!$B$8:'Record'!$Y$100,2,0)</f>
        <v>Marchy</v>
      </c>
      <c r="C35" s="79" t="str">
        <f>VLOOKUP($A35,Record!$B$8:'Record'!$Y$100,3,0)</f>
        <v>Female</v>
      </c>
      <c r="D35" s="161">
        <f>VLOOKUP($A35,Record!$B$8:'Record'!$Y$100,4,0)</f>
        <v>45012</v>
      </c>
      <c r="E35" s="161" t="str">
        <f ca="1">VLOOKUP($A35,Record!$B$8:'Record'!$Y$100,13,0)</f>
        <v xml:space="preserve">0 Years 2 Month 10 Days </v>
      </c>
      <c r="F35" s="78"/>
      <c r="G35" s="78"/>
      <c r="H35" s="78"/>
      <c r="I35" s="78"/>
    </row>
    <row r="36" spans="1:9" ht="15.5" customHeight="1" x14ac:dyDescent="0.35">
      <c r="A36" s="235">
        <v>68</v>
      </c>
      <c r="B36" s="79" t="str">
        <f>VLOOKUP($A36,Record!$B$8:'Record'!$Y$100,2,0)</f>
        <v>Ying Pie</v>
      </c>
      <c r="C36" s="79" t="str">
        <f>VLOOKUP($A36,Record!$B$8:'Record'!$Y$100,3,0)</f>
        <v>Female</v>
      </c>
      <c r="D36" s="161">
        <f>VLOOKUP($A36,Record!$B$8:'Record'!$Y$100,4,0)</f>
        <v>45017</v>
      </c>
      <c r="E36" s="161" t="str">
        <f ca="1">VLOOKUP($A36,Record!$B$8:'Record'!$Y$100,13,0)</f>
        <v xml:space="preserve">0 Years 2 Month 5 Days </v>
      </c>
      <c r="F36" s="78"/>
      <c r="G36" s="78"/>
      <c r="H36" s="78"/>
      <c r="I36" s="78"/>
    </row>
    <row r="37" spans="1:9" x14ac:dyDescent="0.35">
      <c r="A37" s="235">
        <v>69</v>
      </c>
      <c r="B37" s="79" t="str">
        <f>VLOOKUP($A37,Record!$B$8:'Record'!$Y$100,2,0)</f>
        <v>Nicky</v>
      </c>
      <c r="C37" s="79" t="str">
        <f>VLOOKUP($A37,Record!$B$8:'Record'!$Y$100,3,0)</f>
        <v>Male</v>
      </c>
      <c r="D37" s="161">
        <f>VLOOKUP($A37,Record!$B$8:'Record'!$Y$100,4,0)</f>
        <v>45023</v>
      </c>
      <c r="E37" s="161" t="str">
        <f ca="1">VLOOKUP($A37,Record!$B$8:'Record'!$Y$100,13,0)</f>
        <v xml:space="preserve">0 Years 1 Month 30 Days </v>
      </c>
      <c r="F37" s="78"/>
      <c r="G37" s="78"/>
      <c r="H37" s="78"/>
      <c r="I37" s="78"/>
    </row>
    <row r="38" spans="1:9" x14ac:dyDescent="0.35">
      <c r="A38" s="235">
        <v>70</v>
      </c>
      <c r="B38" s="79" t="str">
        <f>VLOOKUP($A38,Record!$B$8:'Record'!$Y$100,2,0)</f>
        <v>Songkran</v>
      </c>
      <c r="C38" s="79" t="str">
        <f>VLOOKUP($A38,Record!$B$8:'Record'!$Y$100,3,0)</f>
        <v>Male</v>
      </c>
      <c r="D38" s="161">
        <f>VLOOKUP($A38,Record!$B$8:'Record'!$Y$100,4,0)</f>
        <v>45031</v>
      </c>
      <c r="E38" s="161" t="str">
        <f ca="1">VLOOKUP($A38,Record!$B$8:'Record'!$Y$100,13,0)</f>
        <v xml:space="preserve">0 Years 1 Month 22 Days </v>
      </c>
      <c r="F38" s="78"/>
      <c r="G38" s="78"/>
      <c r="H38" s="78"/>
      <c r="I38" s="78"/>
    </row>
    <row r="39" spans="1:9" x14ac:dyDescent="0.35">
      <c r="A39" s="235">
        <v>71</v>
      </c>
      <c r="B39" s="79" t="str">
        <f>VLOOKUP($A39,Record!$B$8:'Record'!$Y$100,2,0)</f>
        <v>Charlice</v>
      </c>
      <c r="C39" s="79" t="str">
        <f>VLOOKUP($A39,Record!$B$8:'Record'!$Y$100,3,0)</f>
        <v>Female</v>
      </c>
      <c r="D39" s="161">
        <f>VLOOKUP($A39,Record!$B$8:'Record'!$Y$100,4,0)</f>
        <v>45078</v>
      </c>
      <c r="E39" s="161" t="str">
        <f ca="1">VLOOKUP($A39,Record!$B$8:'Record'!$Y$100,13,0)</f>
        <v xml:space="preserve">0 Years 0 Month 5 Days </v>
      </c>
      <c r="F39" s="78"/>
      <c r="G39" s="78"/>
      <c r="H39" s="78"/>
      <c r="I39" s="78"/>
    </row>
    <row r="40" spans="1:9" x14ac:dyDescent="0.35">
      <c r="A40" s="235">
        <v>72</v>
      </c>
      <c r="B40" s="79" t="str">
        <f>VLOOKUP($A40,Record!$B$8:'Record'!$Y$100,2,0)</f>
        <v>Lily</v>
      </c>
      <c r="C40" s="79" t="str">
        <f>VLOOKUP($A40,Record!$B$8:'Record'!$Y$100,3,0)</f>
        <v>Female</v>
      </c>
      <c r="D40" s="161">
        <f>VLOOKUP($A40,Record!$B$8:'Record'!$Y$100,4,0)</f>
        <v>45078</v>
      </c>
      <c r="E40" s="161" t="str">
        <f ca="1">VLOOKUP($A40,Record!$B$8:'Record'!$Y$100,13,0)</f>
        <v xml:space="preserve">0 Years 0 Month 5 Days </v>
      </c>
      <c r="F40" s="78"/>
      <c r="G40" s="78"/>
      <c r="H40" s="78"/>
      <c r="I40" s="78"/>
    </row>
    <row r="41" spans="1:9" x14ac:dyDescent="0.35">
      <c r="A41" s="235">
        <v>73</v>
      </c>
      <c r="B41" s="79" t="str">
        <f>VLOOKUP($A41,Record!$B$8:'Record'!$Y$100,2,0)</f>
        <v>Loy</v>
      </c>
      <c r="C41" s="79" t="str">
        <f>VLOOKUP($A41,Record!$B$8:'Record'!$Y$100,3,0)</f>
        <v>Male</v>
      </c>
      <c r="D41" s="161">
        <f>VLOOKUP($A41,Record!$B$8:'Record'!$Y$100,4,0)</f>
        <v>45078</v>
      </c>
      <c r="E41" s="161" t="str">
        <f ca="1">VLOOKUP($A41,Record!$B$8:'Record'!$Y$100,13,0)</f>
        <v xml:space="preserve">0 Years 0 Month 5 Days </v>
      </c>
      <c r="F41" s="78"/>
      <c r="G41" s="78"/>
      <c r="H41" s="78"/>
      <c r="I41" s="78"/>
    </row>
    <row r="42" spans="1:9" x14ac:dyDescent="0.35">
      <c r="A42" s="235">
        <v>74</v>
      </c>
      <c r="B42" s="79" t="str">
        <f>VLOOKUP($A42,Record!$B$8:'Record'!$Y$100,2,0)</f>
        <v>Boss</v>
      </c>
      <c r="C42" s="79" t="str">
        <f>VLOOKUP($A42,Record!$B$8:'Record'!$Y$100,3,0)</f>
        <v>Male</v>
      </c>
      <c r="D42" s="161">
        <f>VLOOKUP($A42,Record!$B$8:'Record'!$Y$100,4,0)</f>
        <v>45081</v>
      </c>
      <c r="E42" s="161" t="str">
        <f ca="1">VLOOKUP($A42,Record!$B$8:'Record'!$Y$100,13,0)</f>
        <v xml:space="preserve">0 Years 0 Month 2 Days </v>
      </c>
      <c r="F42" s="78"/>
      <c r="G42" s="78"/>
      <c r="H42" s="78"/>
      <c r="I42" s="78"/>
    </row>
    <row r="43" spans="1:9" x14ac:dyDescent="0.35">
      <c r="A43"/>
      <c r="B43" s="79"/>
      <c r="C43" s="79"/>
      <c r="D43" s="161"/>
      <c r="E43" s="160"/>
      <c r="F43" s="78"/>
      <c r="G43" s="78"/>
      <c r="H43" s="78"/>
      <c r="I43" s="78"/>
    </row>
    <row r="44" spans="1:9" x14ac:dyDescent="0.35">
      <c r="A44"/>
    </row>
    <row r="45" spans="1:9" x14ac:dyDescent="0.35">
      <c r="A45"/>
    </row>
  </sheetData>
  <mergeCells count="3">
    <mergeCell ref="E1:E2"/>
    <mergeCell ref="D1:D2"/>
    <mergeCell ref="A1:C2"/>
  </mergeCells>
  <pageMargins left="0" right="0" top="0" bottom="0" header="0" footer="0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Record</vt:lpstr>
      <vt:lpstr>1.</vt:lpstr>
      <vt:lpstr>Year</vt:lpstr>
      <vt:lpstr>Months</vt:lpstr>
      <vt:lpstr>Mother</vt:lpstr>
      <vt:lpstr>Farm</vt:lpstr>
      <vt:lpstr>Family</vt:lpstr>
      <vt:lpstr>List</vt:lpstr>
      <vt:lpstr>Medi</vt:lpstr>
      <vt:lpstr>Born</vt:lpstr>
      <vt:lpstr>Family</vt:lpstr>
      <vt:lpstr>Farm</vt:lpstr>
      <vt:lpstr>Father</vt:lpstr>
      <vt:lpstr>Male</vt:lpstr>
      <vt:lpstr>Male_Male</vt:lpstr>
      <vt:lpstr>Mothers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Jaeger</dc:creator>
  <cp:lastModifiedBy>Admin</cp:lastModifiedBy>
  <cp:lastPrinted>2023-06-05T03:01:17Z</cp:lastPrinted>
  <dcterms:created xsi:type="dcterms:W3CDTF">2020-03-09T03:01:23Z</dcterms:created>
  <dcterms:modified xsi:type="dcterms:W3CDTF">2023-06-06T03:52:19Z</dcterms:modified>
</cp:coreProperties>
</file>