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enne_projektmappe"/>
  <bookViews>
    <workbookView xWindow="-120" yWindow="-120" windowWidth="24240" windowHeight="13140" tabRatio="507" firstSheet="1" activeTab="3"/>
  </bookViews>
  <sheets>
    <sheet name="Timesedel" sheetId="5" state="hidden" r:id="rId1"/>
    <sheet name="T." sheetId="6" r:id="rId2"/>
    <sheet name="Lønsedel" sheetId="1" state="hidden" r:id="rId3"/>
    <sheet name="Ark1" sheetId="7" r:id="rId4"/>
  </sheets>
  <definedNames>
    <definedName name="_xlnm.Print_Area" localSheetId="3">'Ark1'!$A$1:$L$34</definedName>
    <definedName name="_xlnm.Print_Area" localSheetId="2">Lønsedel!$A$1:$E$39</definedName>
    <definedName name="_xlnm.Print_Area" localSheetId="0">Timesedel!$A$1:$L$34</definedName>
  </definedNames>
  <calcPr calcId="14562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7" l="1"/>
  <c r="G20" i="7"/>
  <c r="H20" i="7"/>
  <c r="E14" i="7" l="1"/>
  <c r="E15" i="7"/>
  <c r="L13" i="7"/>
  <c r="E25" i="7" l="1"/>
  <c r="L25" i="7"/>
  <c r="E26" i="7"/>
  <c r="L26" i="7"/>
  <c r="E27" i="7"/>
  <c r="L27" i="7"/>
  <c r="E28" i="7"/>
  <c r="L28" i="7"/>
  <c r="E22" i="7"/>
  <c r="L22" i="7"/>
  <c r="E24" i="7"/>
  <c r="L24" i="7"/>
  <c r="E23" i="7"/>
  <c r="L23" i="7"/>
  <c r="I31" i="7"/>
  <c r="I32" i="7"/>
  <c r="I34" i="7"/>
  <c r="E13" i="7"/>
  <c r="E16" i="7"/>
  <c r="E17" i="7"/>
  <c r="E18" i="7"/>
  <c r="E19" i="7"/>
  <c r="E13" i="5"/>
  <c r="E14" i="5"/>
  <c r="E15" i="5"/>
  <c r="E16" i="5"/>
  <c r="E17" i="5"/>
  <c r="E18" i="5"/>
  <c r="E19" i="5"/>
  <c r="E20" i="5"/>
  <c r="J31" i="7"/>
  <c r="K31" i="7"/>
  <c r="J32" i="7"/>
  <c r="K32" i="7"/>
  <c r="E29" i="7"/>
  <c r="G29" i="7"/>
  <c r="A3" i="6"/>
  <c r="G33" i="7"/>
  <c r="K34" i="7"/>
  <c r="J34" i="7"/>
  <c r="A4" i="6"/>
  <c r="H33" i="7"/>
  <c r="E33" i="7"/>
  <c r="F29" i="7"/>
  <c r="B13" i="7"/>
  <c r="B14" i="7"/>
  <c r="B15" i="7"/>
  <c r="B16" i="7"/>
  <c r="B17" i="7"/>
  <c r="B18" i="7"/>
  <c r="B19" i="7"/>
  <c r="B22" i="7"/>
  <c r="B23" i="7"/>
  <c r="A22" i="7"/>
  <c r="L14" i="7"/>
  <c r="L15" i="7"/>
  <c r="L16" i="7"/>
  <c r="L17" i="7"/>
  <c r="L18" i="7"/>
  <c r="L19" i="7"/>
  <c r="L20" i="7"/>
  <c r="F20" i="7"/>
  <c r="A14" i="7"/>
  <c r="A15" i="7"/>
  <c r="A16" i="7"/>
  <c r="A17" i="7"/>
  <c r="A18" i="7"/>
  <c r="A19" i="7"/>
  <c r="A13" i="7"/>
  <c r="L9" i="7"/>
  <c r="L29" i="7"/>
  <c r="B24" i="7"/>
  <c r="A23" i="7"/>
  <c r="L25" i="5"/>
  <c r="L26" i="5"/>
  <c r="L27" i="5"/>
  <c r="L28" i="5"/>
  <c r="L29" i="5"/>
  <c r="L30" i="5"/>
  <c r="L18" i="5"/>
  <c r="L19" i="5"/>
  <c r="B25" i="7"/>
  <c r="A24" i="7"/>
  <c r="B25" i="5"/>
  <c r="F25" i="5"/>
  <c r="B26" i="5"/>
  <c r="F26" i="5"/>
  <c r="B27" i="5"/>
  <c r="F27" i="5"/>
  <c r="B28" i="5"/>
  <c r="F28" i="5"/>
  <c r="B29" i="5"/>
  <c r="F29" i="5"/>
  <c r="B30" i="5"/>
  <c r="F30" i="5"/>
  <c r="B24" i="5"/>
  <c r="F24" i="5"/>
  <c r="B26" i="7"/>
  <c r="A25" i="7"/>
  <c r="E29" i="5"/>
  <c r="H29" i="5"/>
  <c r="E28" i="5"/>
  <c r="H28" i="5"/>
  <c r="E24" i="5"/>
  <c r="H24" i="5"/>
  <c r="E26" i="5"/>
  <c r="H26" i="5"/>
  <c r="E27" i="5"/>
  <c r="H27" i="5"/>
  <c r="E30" i="5"/>
  <c r="H30" i="5"/>
  <c r="E25" i="5"/>
  <c r="H25" i="5"/>
  <c r="L17" i="5"/>
  <c r="B27" i="7"/>
  <c r="A26" i="7"/>
  <c r="H20" i="5"/>
  <c r="E31" i="5"/>
  <c r="K31" i="5"/>
  <c r="K32" i="5"/>
  <c r="K34" i="5"/>
  <c r="J31" i="5"/>
  <c r="J32" i="5"/>
  <c r="J34" i="5"/>
  <c r="B28" i="7"/>
  <c r="A28" i="7"/>
  <c r="A27" i="7"/>
  <c r="G20" i="5"/>
  <c r="H33" i="5"/>
  <c r="G33" i="5"/>
  <c r="E33" i="5"/>
  <c r="G25" i="5"/>
  <c r="G26" i="5"/>
  <c r="G27" i="5"/>
  <c r="G28" i="5"/>
  <c r="G29" i="5"/>
  <c r="G30" i="5"/>
  <c r="G24" i="5"/>
  <c r="L24" i="5"/>
  <c r="E32" i="5"/>
  <c r="E34" i="5"/>
  <c r="L9" i="5"/>
  <c r="A30" i="5"/>
  <c r="A29" i="5"/>
  <c r="A28" i="5"/>
  <c r="A27" i="5"/>
  <c r="A26" i="5"/>
  <c r="A25" i="5"/>
  <c r="A24" i="5"/>
  <c r="B19" i="5"/>
  <c r="B18" i="5"/>
  <c r="B17" i="5"/>
  <c r="B16" i="5"/>
  <c r="B15" i="5"/>
  <c r="B14" i="5"/>
  <c r="B13" i="5"/>
  <c r="C17" i="1"/>
  <c r="C37" i="1"/>
  <c r="E37" i="1"/>
  <c r="E17" i="1"/>
  <c r="C18" i="1"/>
  <c r="D22" i="1"/>
  <c r="C34" i="1"/>
  <c r="E34" i="1"/>
  <c r="E35" i="1"/>
  <c r="C38" i="1"/>
  <c r="E38" i="1"/>
  <c r="C36" i="1"/>
  <c r="E36" i="1"/>
  <c r="A16" i="5"/>
  <c r="A19" i="5"/>
  <c r="A17" i="5"/>
  <c r="A15" i="5"/>
  <c r="A13" i="5"/>
  <c r="A14" i="5"/>
  <c r="A18" i="5"/>
  <c r="H31" i="5"/>
  <c r="H32" i="5"/>
  <c r="H34" i="5"/>
  <c r="E18" i="1"/>
  <c r="C30" i="1"/>
  <c r="E30" i="1"/>
  <c r="L14" i="5"/>
  <c r="L15" i="5"/>
  <c r="L16" i="5"/>
  <c r="C33" i="1"/>
  <c r="E33" i="1"/>
  <c r="E19" i="1"/>
  <c r="G31" i="5"/>
  <c r="G32" i="5"/>
  <c r="G34" i="5"/>
  <c r="L13" i="5"/>
  <c r="L31" i="5"/>
  <c r="L32" i="5"/>
  <c r="D21" i="1"/>
  <c r="D23" i="1"/>
  <c r="C25" i="1"/>
  <c r="E25" i="1"/>
  <c r="C31" i="1"/>
  <c r="E31" i="1"/>
  <c r="C32" i="1"/>
  <c r="E32" i="1"/>
  <c r="E27" i="1"/>
  <c r="L34" i="5"/>
  <c r="E20" i="7" l="1"/>
  <c r="H31" i="7" s="1"/>
  <c r="H32" i="7" s="1"/>
  <c r="H34" i="7" s="1"/>
  <c r="G31" i="7" l="1"/>
  <c r="G32" i="7" s="1"/>
  <c r="G34" i="7" s="1"/>
  <c r="E31" i="7"/>
  <c r="E32" i="7" s="1"/>
  <c r="E34" i="7" s="1"/>
  <c r="L34" i="7" l="1"/>
</calcChain>
</file>

<file path=xl/sharedStrings.xml><?xml version="1.0" encoding="utf-8"?>
<sst xmlns="http://schemas.openxmlformats.org/spreadsheetml/2006/main" count="116" uniqueCount="78">
  <si>
    <t>Lønseddel</t>
  </si>
  <si>
    <t>CPR-nr.</t>
  </si>
  <si>
    <t xml:space="preserve">Trækprocent: </t>
  </si>
  <si>
    <t>SE-nr.:</t>
  </si>
  <si>
    <t>Firma</t>
  </si>
  <si>
    <t>Lønperiode:</t>
  </si>
  <si>
    <t>Gage:</t>
  </si>
  <si>
    <t>Ferieberettiget indkomst</t>
  </si>
  <si>
    <t>Atp:</t>
  </si>
  <si>
    <t>AM-pension medarbejder</t>
  </si>
  <si>
    <t>4 % af</t>
  </si>
  <si>
    <t>Arbejdsmarkedsbidrag:</t>
  </si>
  <si>
    <t>8 % af</t>
  </si>
  <si>
    <t>Nettoløn:</t>
  </si>
  <si>
    <t>A-skattepligtig indkomst</t>
  </si>
  <si>
    <t>Skattegrundlag:</t>
  </si>
  <si>
    <t>Skat:</t>
  </si>
  <si>
    <t>Løn til udbetaling:</t>
  </si>
  <si>
    <t>Saldi:</t>
  </si>
  <si>
    <t>Perioden</t>
  </si>
  <si>
    <t>År til dato</t>
  </si>
  <si>
    <t>AM indkomst</t>
  </si>
  <si>
    <t>A-Indkomst</t>
  </si>
  <si>
    <t>A Skat</t>
  </si>
  <si>
    <t>AM bidrag</t>
  </si>
  <si>
    <t>ATP bidrag medarbejder</t>
  </si>
  <si>
    <t>ATP bidrag arbejdsgiver</t>
  </si>
  <si>
    <t>Pension medarbejder</t>
  </si>
  <si>
    <t>Pension arbejdsgiver</t>
  </si>
  <si>
    <t>Rest ferie</t>
  </si>
  <si>
    <t>14 dages</t>
  </si>
  <si>
    <t>BTK</t>
  </si>
  <si>
    <t>Jan Madsen</t>
  </si>
  <si>
    <t>Fyrvej 3</t>
  </si>
  <si>
    <t>4600 Køge</t>
  </si>
  <si>
    <t>38 % af</t>
  </si>
  <si>
    <t>14 dags fradrag</t>
  </si>
  <si>
    <t>Heeringvej 25</t>
  </si>
  <si>
    <t>4690 Haslev</t>
  </si>
  <si>
    <t>010856-0495</t>
  </si>
  <si>
    <t>82 36 37 18</t>
  </si>
  <si>
    <t>Medarbejder:</t>
  </si>
  <si>
    <t>Telefonnummer, medarbejder:</t>
  </si>
  <si>
    <t>E-mail, medarbejder:</t>
  </si>
  <si>
    <t>Startdato:</t>
  </si>
  <si>
    <t>Leder:</t>
  </si>
  <si>
    <t>Slutdato:</t>
  </si>
  <si>
    <t>Dag</t>
  </si>
  <si>
    <t>Dato</t>
  </si>
  <si>
    <t>Syg</t>
  </si>
  <si>
    <t>I alt</t>
  </si>
  <si>
    <t>Timesats</t>
  </si>
  <si>
    <t>Løn i alt</t>
  </si>
  <si>
    <t>BTK Transport</t>
  </si>
  <si>
    <t>Herringvej 25 4690 Haslev</t>
  </si>
  <si>
    <t>Timesedel for 2 uger</t>
  </si>
  <si>
    <t>17.03.2014 – 30.03.2014</t>
  </si>
  <si>
    <t>Ferie/fridag/sh</t>
  </si>
  <si>
    <t>,</t>
  </si>
  <si>
    <t>Start KL</t>
  </si>
  <si>
    <t>Slut KL.</t>
  </si>
  <si>
    <t>ArbejdsTid</t>
  </si>
  <si>
    <t>Arbejdstid</t>
  </si>
  <si>
    <t>Timeløn</t>
  </si>
  <si>
    <t>fra 1 til 5 overtime</t>
  </si>
  <si>
    <t xml:space="preserve">Norm </t>
  </si>
  <si>
    <t>Norm</t>
  </si>
  <si>
    <t>Timer total (1/100)</t>
  </si>
  <si>
    <t>Timer total (TT:MM)</t>
  </si>
  <si>
    <t xml:space="preserve">Fra 6 overtime </t>
  </si>
  <si>
    <t>Mandag</t>
  </si>
  <si>
    <t>Tirsdag</t>
  </si>
  <si>
    <t>Onsdag</t>
  </si>
  <si>
    <t>Torsdag</t>
  </si>
  <si>
    <t>Fredag</t>
  </si>
  <si>
    <t>Lørdag</t>
  </si>
  <si>
    <t>Søndag</t>
  </si>
  <si>
    <t>21 - 05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</si>
</sst>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kr.&quot;\ * #,##0.00_ ;_ &quot;kr.&quot;\ * \-#,##0.00_ ;_ &quot;kr.&quot;\ * &quot;-&quot;??_ ;_ @_ "/>
    <numFmt numFmtId="164" formatCode="[$kr-406]\ #,##0.00;[Red][$kr-406]&quot; -&quot;#,##0.00"/>
    <numFmt numFmtId="165" formatCode="#,##0.00\ [$DKK]"/>
    <numFmt numFmtId="166" formatCode="hh:mm;@"/>
    <numFmt numFmtId="167" formatCode="[h]:mm"/>
    <numFmt numFmtId="168" formatCode="dddd"/>
  </numFmts>
  <fonts count="29" x14ac:knownFonts="1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</font>
    <font>
      <sz val="12"/>
      <color theme="7" tint="-0.249977111117893"/>
      <name val="Cambria"/>
      <family val="2"/>
      <scheme val="major"/>
    </font>
    <font>
      <sz val="12"/>
      <color theme="6"/>
      <name val="Calibri"/>
      <family val="2"/>
      <scheme val="minor"/>
    </font>
    <font>
      <sz val="12"/>
      <name val="Calibri"/>
      <family val="1"/>
      <scheme val="minor"/>
    </font>
    <font>
      <sz val="12"/>
      <color theme="7" tint="-0.249977111117893"/>
      <name val="Calibri"/>
      <family val="2"/>
      <scheme val="minor"/>
    </font>
    <font>
      <sz val="12"/>
      <color theme="7" tint="-0.249977111117893"/>
      <name val="Arial"/>
      <family val="2"/>
    </font>
    <font>
      <sz val="12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2"/>
      <color theme="1"/>
      <name val="Calibri"/>
      <family val="1"/>
      <scheme val="minor"/>
    </font>
    <font>
      <b/>
      <sz val="12"/>
      <color theme="1" tint="0.14999847407452621"/>
      <name val="Calibri"/>
      <family val="1"/>
      <scheme val="minor"/>
    </font>
    <font>
      <b/>
      <sz val="12"/>
      <color theme="0"/>
      <name val="Calibri"/>
      <family val="2"/>
      <scheme val="minor"/>
    </font>
    <font>
      <sz val="12"/>
      <color theme="1" tint="0.149998474074526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8"/>
      </top>
      <bottom style="hair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hair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4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9" fontId="3" fillId="0" borderId="0" xfId="0" applyNumberFormat="1" applyFont="1"/>
    <xf numFmtId="10" fontId="3" fillId="0" borderId="0" xfId="0" applyNumberFormat="1" applyFont="1"/>
    <xf numFmtId="0" fontId="1" fillId="0" borderId="3" xfId="0" applyFont="1" applyBorder="1"/>
    <xf numFmtId="0" fontId="3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7" fillId="0" borderId="0" xfId="0" applyFont="1" applyAlignment="1">
      <alignment horizontal="left" vertical="center" indent="1"/>
    </xf>
    <xf numFmtId="0" fontId="8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14" fontId="12" fillId="0" borderId="0" xfId="0" applyNumberFormat="1" applyFont="1" applyAlignment="1">
      <alignment horizontal="left" vertical="center"/>
    </xf>
    <xf numFmtId="0" fontId="11" fillId="0" borderId="0" xfId="0" applyFont="1"/>
    <xf numFmtId="14" fontId="8" fillId="0" borderId="0" xfId="0" applyNumberFormat="1" applyFont="1" applyAlignment="1">
      <alignment horizontal="right" vertical="center" indent="1"/>
    </xf>
    <xf numFmtId="2" fontId="8" fillId="0" borderId="0" xfId="0" applyNumberFormat="1" applyFont="1" applyAlignment="1">
      <alignment horizontal="right" vertical="center" indent="1"/>
    </xf>
    <xf numFmtId="165" fontId="15" fillId="3" borderId="11" xfId="1" applyNumberFormat="1" applyFont="1" applyFill="1" applyBorder="1" applyAlignment="1">
      <alignment horizontal="right" vertical="center" indent="1"/>
    </xf>
    <xf numFmtId="0" fontId="16" fillId="0" borderId="0" xfId="0" applyFont="1"/>
    <xf numFmtId="0" fontId="8" fillId="0" borderId="0" xfId="0" applyFont="1" applyAlignment="1">
      <alignment vertical="top"/>
    </xf>
    <xf numFmtId="16" fontId="9" fillId="0" borderId="0" xfId="0" applyNumberFormat="1" applyFont="1" applyAlignment="1">
      <alignment horizontal="right" vertical="center"/>
    </xf>
    <xf numFmtId="0" fontId="1" fillId="5" borderId="3" xfId="0" applyFont="1" applyFill="1" applyBorder="1"/>
    <xf numFmtId="0" fontId="3" fillId="0" borderId="12" xfId="0" applyFont="1" applyBorder="1"/>
    <xf numFmtId="164" fontId="3" fillId="0" borderId="12" xfId="0" applyNumberFormat="1" applyFont="1" applyBorder="1"/>
    <xf numFmtId="0" fontId="3" fillId="0" borderId="14" xfId="0" applyFont="1" applyBorder="1"/>
    <xf numFmtId="164" fontId="17" fillId="0" borderId="13" xfId="0" applyNumberFormat="1" applyFont="1" applyBorder="1"/>
    <xf numFmtId="0" fontId="1" fillId="0" borderId="15" xfId="0" applyFont="1" applyBorder="1"/>
    <xf numFmtId="0" fontId="1" fillId="2" borderId="3" xfId="0" applyFont="1" applyFill="1" applyBorder="1"/>
    <xf numFmtId="0" fontId="4" fillId="0" borderId="3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4" fillId="0" borderId="19" xfId="0" applyFont="1" applyBorder="1"/>
    <xf numFmtId="0" fontId="3" fillId="0" borderId="20" xfId="0" applyFont="1" applyBorder="1"/>
    <xf numFmtId="0" fontId="18" fillId="0" borderId="0" xfId="0" applyFont="1"/>
    <xf numFmtId="2" fontId="18" fillId="0" borderId="0" xfId="0" applyNumberFormat="1" applyFont="1"/>
    <xf numFmtId="2" fontId="18" fillId="0" borderId="0" xfId="0" applyNumberFormat="1" applyFont="1" applyAlignment="1">
      <alignment horizontal="right"/>
    </xf>
    <xf numFmtId="0" fontId="9" fillId="0" borderId="8" xfId="0" applyFont="1" applyBorder="1" applyAlignment="1">
      <alignment horizontal="right" vertical="center" indent="1"/>
    </xf>
    <xf numFmtId="0" fontId="10" fillId="0" borderId="0" xfId="0" applyFont="1" applyBorder="1"/>
    <xf numFmtId="0" fontId="9" fillId="0" borderId="0" xfId="0" applyFont="1" applyBorder="1" applyAlignment="1">
      <alignment horizontal="left" vertical="top"/>
    </xf>
    <xf numFmtId="166" fontId="8" fillId="0" borderId="0" xfId="0" applyNumberFormat="1" applyFont="1" applyAlignment="1">
      <alignment horizontal="center" vertical="center"/>
    </xf>
    <xf numFmtId="0" fontId="18" fillId="0" borderId="0" xfId="0" applyFont="1" applyFill="1"/>
    <xf numFmtId="0" fontId="11" fillId="7" borderId="9" xfId="0" applyFont="1" applyFill="1" applyBorder="1" applyAlignment="1">
      <alignment vertical="center"/>
    </xf>
    <xf numFmtId="0" fontId="15" fillId="7" borderId="9" xfId="0" applyFont="1" applyFill="1" applyBorder="1" applyAlignment="1">
      <alignment vertical="center"/>
    </xf>
    <xf numFmtId="165" fontId="15" fillId="7" borderId="10" xfId="1" applyNumberFormat="1" applyFont="1" applyFill="1" applyBorder="1" applyAlignment="1">
      <alignment horizontal="right" vertical="center" indent="1"/>
    </xf>
    <xf numFmtId="0" fontId="8" fillId="7" borderId="0" xfId="0" applyFont="1" applyFill="1" applyAlignment="1">
      <alignment vertical="center"/>
    </xf>
    <xf numFmtId="167" fontId="8" fillId="0" borderId="0" xfId="0" applyNumberFormat="1" applyFont="1" applyAlignment="1">
      <alignment horizontal="right" vertical="center" indent="1"/>
    </xf>
    <xf numFmtId="20" fontId="0" fillId="0" borderId="0" xfId="0" applyNumberFormat="1"/>
    <xf numFmtId="0" fontId="8" fillId="0" borderId="0" xfId="0" applyFont="1" applyBorder="1" applyAlignment="1">
      <alignment vertical="center"/>
    </xf>
    <xf numFmtId="0" fontId="8" fillId="0" borderId="0" xfId="0" applyFont="1" applyBorder="1"/>
    <xf numFmtId="168" fontId="8" fillId="0" borderId="0" xfId="0" applyNumberFormat="1" applyFont="1" applyAlignment="1">
      <alignment horizontal="left" vertical="center" indent="1"/>
    </xf>
    <xf numFmtId="2" fontId="13" fillId="4" borderId="0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2" fontId="14" fillId="4" borderId="21" xfId="0" applyNumberFormat="1" applyFont="1" applyFill="1" applyBorder="1" applyAlignment="1">
      <alignment horizontal="right" vertical="center" indent="1"/>
    </xf>
    <xf numFmtId="0" fontId="19" fillId="6" borderId="0" xfId="0" applyFont="1" applyFill="1" applyAlignment="1">
      <alignment horizontal="center" vertical="center"/>
    </xf>
    <xf numFmtId="166" fontId="19" fillId="6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8" borderId="22" xfId="0" applyFill="1" applyBorder="1"/>
    <xf numFmtId="0" fontId="0" fillId="9" borderId="22" xfId="0" applyFill="1" applyBorder="1"/>
    <xf numFmtId="0" fontId="0" fillId="0" borderId="22" xfId="0" applyBorder="1"/>
    <xf numFmtId="167" fontId="0" fillId="9" borderId="22" xfId="0" applyNumberFormat="1" applyFill="1" applyBorder="1"/>
    <xf numFmtId="0" fontId="21" fillId="7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 wrapText="1"/>
    </xf>
    <xf numFmtId="4" fontId="15" fillId="7" borderId="10" xfId="1" applyNumberFormat="1" applyFont="1" applyFill="1" applyBorder="1" applyAlignment="1">
      <alignment horizontal="right" vertical="center" indent="1"/>
    </xf>
    <xf numFmtId="0" fontId="20" fillId="7" borderId="22" xfId="0" applyFont="1" applyFill="1" applyBorder="1" applyAlignment="1">
      <alignment vertical="center"/>
    </xf>
    <xf numFmtId="2" fontId="20" fillId="7" borderId="22" xfId="0" applyNumberFormat="1" applyFont="1" applyFill="1" applyBorder="1" applyAlignment="1">
      <alignment horizontal="right" vertical="center"/>
    </xf>
    <xf numFmtId="2" fontId="14" fillId="4" borderId="21" xfId="0" applyNumberFormat="1" applyFont="1" applyFill="1" applyBorder="1" applyAlignment="1">
      <alignment horizontal="right" vertical="center"/>
    </xf>
    <xf numFmtId="2" fontId="14" fillId="4" borderId="23" xfId="0" applyNumberFormat="1" applyFont="1" applyFill="1" applyBorder="1" applyAlignment="1">
      <alignment horizontal="right" vertical="center"/>
    </xf>
    <xf numFmtId="2" fontId="14" fillId="4" borderId="24" xfId="0" applyNumberFormat="1" applyFont="1" applyFill="1" applyBorder="1" applyAlignment="1">
      <alignment horizontal="right" vertical="center"/>
    </xf>
    <xf numFmtId="0" fontId="9" fillId="9" borderId="22" xfId="0" applyFont="1" applyFill="1" applyBorder="1" applyAlignment="1">
      <alignment vertical="center"/>
    </xf>
    <xf numFmtId="14" fontId="9" fillId="9" borderId="22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left" vertical="top" indent="1"/>
    </xf>
    <xf numFmtId="0" fontId="10" fillId="0" borderId="0" xfId="0" applyFont="1" applyBorder="1" applyAlignment="1">
      <alignment vertical="top"/>
    </xf>
    <xf numFmtId="167" fontId="8" fillId="0" borderId="0" xfId="0" applyNumberFormat="1" applyFont="1" applyAlignment="1">
      <alignment horizontal="center" vertical="center"/>
    </xf>
    <xf numFmtId="168" fontId="8" fillId="0" borderId="25" xfId="0" applyNumberFormat="1" applyFont="1" applyBorder="1" applyAlignment="1">
      <alignment horizontal="left" vertical="center" indent="1"/>
    </xf>
    <xf numFmtId="14" fontId="8" fillId="0" borderId="25" xfId="0" applyNumberFormat="1" applyFont="1" applyBorder="1" applyAlignment="1">
      <alignment horizontal="right" vertical="center" indent="1"/>
    </xf>
    <xf numFmtId="166" fontId="8" fillId="0" borderId="25" xfId="0" applyNumberFormat="1" applyFont="1" applyBorder="1" applyAlignment="1">
      <alignment horizontal="center" vertical="center"/>
    </xf>
    <xf numFmtId="167" fontId="8" fillId="0" borderId="25" xfId="0" applyNumberFormat="1" applyFont="1" applyBorder="1" applyAlignment="1">
      <alignment horizontal="right" vertical="center" indent="1"/>
    </xf>
    <xf numFmtId="2" fontId="8" fillId="0" borderId="25" xfId="0" applyNumberFormat="1" applyFont="1" applyBorder="1" applyAlignment="1">
      <alignment horizontal="right" vertical="center" indent="1"/>
    </xf>
    <xf numFmtId="167" fontId="20" fillId="7" borderId="22" xfId="0" applyNumberFormat="1" applyFont="1" applyFill="1" applyBorder="1" applyAlignment="1">
      <alignment vertical="center"/>
    </xf>
    <xf numFmtId="167" fontId="22" fillId="0" borderId="0" xfId="0" applyNumberFormat="1" applyFont="1" applyFill="1" applyAlignment="1">
      <alignment horizontal="center" vertical="center"/>
    </xf>
    <xf numFmtId="167" fontId="24" fillId="7" borderId="22" xfId="0" applyNumberFormat="1" applyFont="1" applyFill="1" applyBorder="1" applyAlignment="1">
      <alignment horizontal="right" vertical="center"/>
    </xf>
    <xf numFmtId="167" fontId="21" fillId="7" borderId="22" xfId="0" applyNumberFormat="1" applyFont="1" applyFill="1" applyBorder="1" applyAlignment="1">
      <alignment horizontal="right" vertical="center"/>
    </xf>
    <xf numFmtId="0" fontId="21" fillId="7" borderId="0" xfId="0" quotePrefix="1" applyFont="1" applyFill="1" applyAlignment="1">
      <alignment horizontal="center" vertical="center" wrapText="1"/>
    </xf>
    <xf numFmtId="14" fontId="25" fillId="9" borderId="22" xfId="0" applyNumberFormat="1" applyFont="1" applyFill="1" applyBorder="1" applyAlignment="1">
      <alignment horizontal="right" vertical="center" indent="1"/>
    </xf>
    <xf numFmtId="0" fontId="27" fillId="0" borderId="0" xfId="0" applyFont="1"/>
    <xf numFmtId="0" fontId="25" fillId="0" borderId="8" xfId="0" applyFont="1" applyBorder="1" applyAlignment="1">
      <alignment horizontal="right" vertical="center" indent="1"/>
    </xf>
    <xf numFmtId="0" fontId="25" fillId="9" borderId="22" xfId="0" applyFont="1" applyFill="1" applyBorder="1" applyAlignment="1">
      <alignment vertical="center"/>
    </xf>
    <xf numFmtId="0" fontId="24" fillId="0" borderId="0" xfId="0" applyFont="1"/>
    <xf numFmtId="0" fontId="20" fillId="7" borderId="22" xfId="0" applyFont="1" applyFill="1" applyBorder="1" applyAlignment="1">
      <alignment horizontal="center" vertical="center"/>
    </xf>
    <xf numFmtId="0" fontId="20" fillId="7" borderId="22" xfId="0" applyFont="1" applyFill="1" applyBorder="1" applyAlignment="1">
      <alignment horizontal="center" vertical="center" wrapText="1"/>
    </xf>
    <xf numFmtId="2" fontId="26" fillId="10" borderId="22" xfId="0" applyNumberFormat="1" applyFont="1" applyFill="1" applyBorder="1" applyAlignment="1">
      <alignment horizontal="center" vertical="center"/>
    </xf>
    <xf numFmtId="14" fontId="26" fillId="10" borderId="22" xfId="0" applyNumberFormat="1" applyFont="1" applyFill="1" applyBorder="1" applyAlignment="1">
      <alignment horizontal="right" vertical="center" indent="1"/>
    </xf>
    <xf numFmtId="166" fontId="26" fillId="10" borderId="22" xfId="0" applyNumberFormat="1" applyFont="1" applyFill="1" applyBorder="1" applyAlignment="1">
      <alignment horizontal="center" vertical="center"/>
    </xf>
    <xf numFmtId="167" fontId="21" fillId="10" borderId="22" xfId="1" applyNumberFormat="1" applyFont="1" applyFill="1" applyBorder="1" applyAlignment="1">
      <alignment horizontal="right" vertical="center" indent="1"/>
    </xf>
    <xf numFmtId="167" fontId="26" fillId="10" borderId="22" xfId="0" applyNumberFormat="1" applyFont="1" applyFill="1" applyBorder="1" applyAlignment="1">
      <alignment horizontal="right" vertical="center" indent="1"/>
    </xf>
    <xf numFmtId="2" fontId="26" fillId="10" borderId="22" xfId="0" applyNumberFormat="1" applyFont="1" applyFill="1" applyBorder="1" applyAlignment="1">
      <alignment horizontal="right" vertical="center" indent="1"/>
    </xf>
    <xf numFmtId="2" fontId="26" fillId="11" borderId="22" xfId="0" applyNumberFormat="1" applyFont="1" applyFill="1" applyBorder="1" applyAlignment="1">
      <alignment horizontal="center" vertical="center"/>
    </xf>
    <xf numFmtId="14" fontId="26" fillId="11" borderId="22" xfId="0" applyNumberFormat="1" applyFont="1" applyFill="1" applyBorder="1" applyAlignment="1">
      <alignment horizontal="right" vertical="center" indent="1"/>
    </xf>
    <xf numFmtId="166" fontId="26" fillId="11" borderId="22" xfId="0" applyNumberFormat="1" applyFont="1" applyFill="1" applyBorder="1" applyAlignment="1">
      <alignment horizontal="center" vertical="center"/>
    </xf>
    <xf numFmtId="167" fontId="21" fillId="12" borderId="22" xfId="1" applyNumberFormat="1" applyFont="1" applyFill="1" applyBorder="1" applyAlignment="1">
      <alignment horizontal="right" vertical="center" indent="1"/>
    </xf>
    <xf numFmtId="167" fontId="26" fillId="11" borderId="22" xfId="0" applyNumberFormat="1" applyFont="1" applyFill="1" applyBorder="1" applyAlignment="1">
      <alignment horizontal="right" vertical="center" indent="1"/>
    </xf>
    <xf numFmtId="2" fontId="26" fillId="11" borderId="22" xfId="0" applyNumberFormat="1" applyFont="1" applyFill="1" applyBorder="1" applyAlignment="1">
      <alignment horizontal="right" vertical="center" indent="1"/>
    </xf>
    <xf numFmtId="0" fontId="26" fillId="10" borderId="22" xfId="0" applyFont="1" applyFill="1" applyBorder="1" applyAlignment="1">
      <alignment horizontal="center"/>
    </xf>
    <xf numFmtId="0" fontId="26" fillId="10" borderId="22" xfId="0" applyFont="1" applyFill="1" applyBorder="1"/>
    <xf numFmtId="4" fontId="21" fillId="10" borderId="28" xfId="1" applyNumberFormat="1" applyFont="1" applyFill="1" applyBorder="1" applyAlignment="1">
      <alignment horizontal="right" vertical="center" indent="1"/>
    </xf>
    <xf numFmtId="2" fontId="23" fillId="4" borderId="22" xfId="0" applyNumberFormat="1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vertical="center"/>
    </xf>
    <xf numFmtId="4" fontId="21" fillId="12" borderId="22" xfId="1" applyNumberFormat="1" applyFont="1" applyFill="1" applyBorder="1" applyAlignment="1">
      <alignment horizontal="right" vertical="center" indent="1"/>
    </xf>
    <xf numFmtId="2" fontId="28" fillId="4" borderId="22" xfId="0" applyNumberFormat="1" applyFont="1" applyFill="1" applyBorder="1" applyAlignment="1">
      <alignment horizontal="right" vertical="center" indent="1"/>
    </xf>
    <xf numFmtId="2" fontId="28" fillId="4" borderId="22" xfId="0" applyNumberFormat="1" applyFont="1" applyFill="1" applyBorder="1" applyAlignment="1">
      <alignment horizontal="right" vertical="center"/>
    </xf>
    <xf numFmtId="0" fontId="24" fillId="7" borderId="22" xfId="0" applyFont="1" applyFill="1" applyBorder="1" applyAlignment="1">
      <alignment vertical="center"/>
    </xf>
    <xf numFmtId="4" fontId="20" fillId="7" borderId="22" xfId="1" applyNumberFormat="1" applyFont="1" applyFill="1" applyBorder="1" applyAlignment="1">
      <alignment horizontal="right" vertical="center" indent="1"/>
    </xf>
    <xf numFmtId="165" fontId="20" fillId="7" borderId="22" xfId="1" applyNumberFormat="1" applyFont="1" applyFill="1" applyBorder="1" applyAlignment="1">
      <alignment horizontal="right" vertical="center" indent="1"/>
    </xf>
    <xf numFmtId="0" fontId="24" fillId="13" borderId="22" xfId="0" applyFont="1" applyFill="1" applyBorder="1"/>
    <xf numFmtId="167" fontId="26" fillId="12" borderId="22" xfId="0" applyNumberFormat="1" applyFont="1" applyFill="1" applyBorder="1" applyAlignment="1">
      <alignment horizontal="right" vertical="center" indent="1"/>
    </xf>
    <xf numFmtId="166" fontId="26" fillId="11" borderId="30" xfId="0" applyNumberFormat="1" applyFont="1" applyFill="1" applyBorder="1" applyAlignment="1">
      <alignment horizontal="center" vertical="center"/>
    </xf>
    <xf numFmtId="167" fontId="21" fillId="12" borderId="30" xfId="1" applyNumberFormat="1" applyFont="1" applyFill="1" applyBorder="1" applyAlignment="1">
      <alignment horizontal="right" vertical="center" indent="1"/>
    </xf>
    <xf numFmtId="167" fontId="26" fillId="11" borderId="30" xfId="0" applyNumberFormat="1" applyFont="1" applyFill="1" applyBorder="1" applyAlignment="1">
      <alignment horizontal="center" vertical="center"/>
    </xf>
    <xf numFmtId="167" fontId="26" fillId="11" borderId="30" xfId="0" applyNumberFormat="1" applyFont="1" applyFill="1" applyBorder="1" applyAlignment="1">
      <alignment horizontal="right" vertical="center" indent="1"/>
    </xf>
    <xf numFmtId="0" fontId="26" fillId="11" borderId="30" xfId="0" applyFont="1" applyFill="1" applyBorder="1"/>
    <xf numFmtId="2" fontId="26" fillId="10" borderId="29" xfId="0" applyNumberFormat="1" applyFont="1" applyFill="1" applyBorder="1" applyAlignment="1">
      <alignment horizontal="center" vertical="center"/>
    </xf>
    <xf numFmtId="14" fontId="26" fillId="11" borderId="29" xfId="0" applyNumberFormat="1" applyFont="1" applyFill="1" applyBorder="1" applyAlignment="1">
      <alignment horizontal="right" vertical="center" indent="1"/>
    </xf>
    <xf numFmtId="166" fontId="26" fillId="10" borderId="29" xfId="0" applyNumberFormat="1" applyFont="1" applyFill="1" applyBorder="1" applyAlignment="1">
      <alignment horizontal="center" vertical="center"/>
    </xf>
    <xf numFmtId="167" fontId="21" fillId="10" borderId="29" xfId="1" applyNumberFormat="1" applyFont="1" applyFill="1" applyBorder="1" applyAlignment="1">
      <alignment horizontal="right" vertical="center" indent="1"/>
    </xf>
    <xf numFmtId="167" fontId="26" fillId="10" borderId="29" xfId="0" applyNumberFormat="1" applyFont="1" applyFill="1" applyBorder="1" applyAlignment="1">
      <alignment horizontal="right" vertical="center" indent="1"/>
    </xf>
    <xf numFmtId="2" fontId="26" fillId="10" borderId="29" xfId="0" applyNumberFormat="1" applyFont="1" applyFill="1" applyBorder="1" applyAlignment="1">
      <alignment horizontal="right" vertical="center" indent="1"/>
    </xf>
    <xf numFmtId="0" fontId="9" fillId="8" borderId="22" xfId="0" applyFont="1" applyFill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wrapText="1" indent="1"/>
    </xf>
    <xf numFmtId="0" fontId="9" fillId="9" borderId="22" xfId="0" applyFont="1" applyFill="1" applyBorder="1" applyAlignment="1">
      <alignment vertical="center"/>
    </xf>
    <xf numFmtId="0" fontId="9" fillId="8" borderId="26" xfId="0" applyFont="1" applyFill="1" applyBorder="1" applyAlignment="1">
      <alignment horizontal="right" vertical="center"/>
    </xf>
    <xf numFmtId="0" fontId="9" fillId="8" borderId="12" xfId="0" applyFont="1" applyFill="1" applyBorder="1" applyAlignment="1">
      <alignment horizontal="right" vertical="center"/>
    </xf>
    <xf numFmtId="0" fontId="9" fillId="8" borderId="27" xfId="0" applyFont="1" applyFill="1" applyBorder="1" applyAlignment="1">
      <alignment horizontal="right" vertical="center"/>
    </xf>
    <xf numFmtId="0" fontId="9" fillId="8" borderId="22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top" indent="1"/>
    </xf>
    <xf numFmtId="0" fontId="9" fillId="9" borderId="22" xfId="0" applyFont="1" applyFill="1" applyBorder="1" applyAlignment="1">
      <alignment horizontal="left" vertical="center" indent="1"/>
    </xf>
    <xf numFmtId="0" fontId="0" fillId="8" borderId="22" xfId="0" applyFill="1" applyBorder="1" applyAlignment="1">
      <alignment horizontal="center"/>
    </xf>
    <xf numFmtId="0" fontId="25" fillId="8" borderId="22" xfId="0" applyFont="1" applyFill="1" applyBorder="1" applyAlignment="1">
      <alignment horizontal="left" vertical="center" indent="1"/>
    </xf>
    <xf numFmtId="0" fontId="25" fillId="9" borderId="22" xfId="0" applyFont="1" applyFill="1" applyBorder="1" applyAlignment="1">
      <alignment vertical="center"/>
    </xf>
    <xf numFmtId="0" fontId="25" fillId="8" borderId="26" xfId="0" applyFont="1" applyFill="1" applyBorder="1" applyAlignment="1">
      <alignment horizontal="right" vertical="center"/>
    </xf>
    <xf numFmtId="0" fontId="25" fillId="8" borderId="12" xfId="0" applyFont="1" applyFill="1" applyBorder="1" applyAlignment="1">
      <alignment horizontal="right" vertical="center"/>
    </xf>
    <xf numFmtId="0" fontId="25" fillId="8" borderId="27" xfId="0" applyFont="1" applyFill="1" applyBorder="1" applyAlignment="1">
      <alignment horizontal="right" vertical="center"/>
    </xf>
    <xf numFmtId="0" fontId="20" fillId="7" borderId="22" xfId="0" applyFont="1" applyFill="1" applyBorder="1" applyAlignment="1">
      <alignment vertical="center"/>
    </xf>
    <xf numFmtId="0" fontId="25" fillId="9" borderId="22" xfId="0" applyFont="1" applyFill="1" applyBorder="1" applyAlignment="1">
      <alignment horizontal="left" vertical="center" indent="1"/>
    </xf>
    <xf numFmtId="0" fontId="25" fillId="8" borderId="22" xfId="0" applyFont="1" applyFill="1" applyBorder="1" applyAlignment="1">
      <alignment horizontal="right" vertical="center"/>
    </xf>
    <xf numFmtId="0" fontId="20" fillId="7" borderId="30" xfId="0" applyFont="1" applyFill="1" applyBorder="1" applyAlignment="1">
      <alignment vertical="center"/>
    </xf>
  </cellXfs>
  <cellStyles count="2">
    <cellStyle name="Normal" xfId="0" builtinId="0"/>
    <cellStyle name="Valuta" xfId="1" builtinId="4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h]:mm"/>
      <fill>
        <patternFill patternType="solid">
          <fgColor indexed="64"/>
          <bgColor rgb="FF00B0F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h]:mm"/>
      <fill>
        <patternFill patternType="solid">
          <fgColor indexed="64"/>
          <bgColor rgb="FF00B0F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h]:mm"/>
      <fill>
        <patternFill patternType="solid">
          <fgColor indexed="64"/>
          <bgColor rgb="FF00B0F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h]:mm"/>
      <fill>
        <patternFill patternType="solid">
          <fgColor indexed="64"/>
          <bgColor rgb="FF00B0F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[h]:mm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h]:mm"/>
      <fill>
        <patternFill patternType="solid">
          <fgColor indexed="64"/>
          <bgColor rgb="FF00B0F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h]:mm"/>
      <fill>
        <patternFill patternType="solid">
          <fgColor indexed="64"/>
          <bgColor rgb="FF00B0F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h]:mm"/>
      <fill>
        <patternFill patternType="solid">
          <fgColor indexed="64"/>
          <bgColor rgb="FF00B0F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7" formatCode="[h]:mm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hh:mm;@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rgb="FF00B0F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rgb="FF00B0F0"/>
        </patternFill>
      </fill>
      <alignment vertical="center" textRotation="0" wrapText="0" indent="0" justifyLastLine="0" shrinkToFit="0" readingOrder="0"/>
    </dxf>
    <dxf>
      <font>
        <sz val="8"/>
        <color theme="1" tint="0.14996795556505021"/>
      </font>
      <fill>
        <patternFill>
          <bgColor theme="9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sz val="8"/>
        <color theme="1" tint="0.14996795556505021"/>
      </font>
      <fill>
        <patternFill>
          <bgColor theme="9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1" tint="0.14996795556505021"/>
      </font>
    </dxf>
    <dxf>
      <font>
        <sz val="8"/>
        <color theme="0"/>
      </font>
      <fill>
        <patternFill>
          <bgColor theme="7"/>
        </patternFill>
      </fill>
      <border diagonalUp="0" diagonalDown="0">
        <top style="medium">
          <color theme="0"/>
        </top>
        <vertical style="thin">
          <color theme="0"/>
        </vertical>
      </border>
    </dxf>
    <dxf>
      <font>
        <sz val="8"/>
        <color theme="0"/>
      </font>
      <fill>
        <patternFill>
          <bgColor theme="7"/>
        </patternFill>
      </fill>
      <border diagonalUp="0" diagonalDown="0">
        <bottom style="medium">
          <color theme="0"/>
        </bottom>
        <vertical style="thin">
          <color theme="0"/>
        </vertical>
      </border>
    </dxf>
    <dxf>
      <font>
        <sz val="8"/>
        <color theme="1" tint="0.14996795556505021"/>
      </font>
    </dxf>
  </dxfs>
  <tableStyles count="1" defaultTableStyle="TableStyleMedium2" defaultPivotStyle="PivotStyleLight16">
    <tableStyle name="Table Style 1" pivot="0" count="6">
      <tableStyleElement type="wholeTable" dxfId="23"/>
      <tableStyleElement type="headerRow" dxfId="22"/>
      <tableStyleElement type="totalRow" dxfId="21"/>
      <tableStyleElement type="firstColumn" dxfId="20"/>
      <tableStyleElement type="firstRowStripe" dxfId="19"/>
      <tableStyleElement type="secondRowStripe" dxfId="18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66261</xdr:colOff>
      <xdr:row>0</xdr:row>
      <xdr:rowOff>0</xdr:rowOff>
    </xdr:from>
    <xdr:to>
      <xdr:col>1</xdr:col>
      <xdr:colOff>61410</xdr:colOff>
      <xdr:row>1</xdr:row>
      <xdr:rowOff>0</xdr:rowOff>
    </xdr:to>
    <xdr:pic>
      <xdr:nvPicPr>
        <xdr:cNvPr id="2" name="Billede 1" descr="Billedet indeholder sandsynligvis: teks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61" y="0"/>
          <a:ext cx="1328649" cy="48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66261</xdr:colOff>
      <xdr:row>0</xdr:row>
      <xdr:rowOff>1</xdr:rowOff>
    </xdr:from>
    <xdr:to>
      <xdr:col>2</xdr:col>
      <xdr:colOff>104775</xdr:colOff>
      <xdr:row>0</xdr:row>
      <xdr:rowOff>462821</xdr:rowOff>
    </xdr:to>
    <xdr:pic>
      <xdr:nvPicPr>
        <xdr:cNvPr id="2" name="Billede 1" descr="Billedet indeholder sandsynligvis: tekst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61" y="1"/>
          <a:ext cx="1619664" cy="462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1" displayName="Table1" ref="A12:L31" totalsRowCount="1" headerRowDxfId="17" dataDxfId="16" totalsRowDxfId="15" totalsRowBorderDxfId="14" headerRowCellStyle="Normal">
  <autoFilter ref="A12:L30"/>
  <tableColumns count="12">
    <tableColumn id="1" name="Dag" totalsRowLabel="Timer total (TT:MM)" totalsRowDxfId="13" dataCellStyle="Normal"/>
    <tableColumn id="3" name="Dato" totalsRowLabel="I alt" totalsRowDxfId="12" dataCellStyle="Normal"/>
    <tableColumn id="7" name="Start KL" totalsRowDxfId="11"/>
    <tableColumn id="6" name="Slut KL." totalsRowDxfId="10"/>
    <tableColumn id="8" name="ArbejdsTid" totalsRowFunction="custom" dataDxfId="9" totalsRowDxfId="8">
      <calculatedColumnFormula>Table1[[#This Row],[Slut KL.]]-Table1[[#This Row],[Start KL]]+(Table1[[#This Row],[Start KL]]&gt;D13)</calculatedColumnFormula>
      <totalsRowFormula>SUM(E24:E30)</totalsRowFormula>
    </tableColumn>
    <tableColumn id="4" name="Norm " totalsRowDxfId="7" dataCellStyle="Normal"/>
    <tableColumn id="5" name="fra 1 til 5 overtime" totalsRowFunction="sum" totalsRowDxfId="6" dataCellStyle="Normal"/>
    <tableColumn id="2" name="Fra 6 overtime " totalsRowFunction="sum" totalsRowDxfId="5"/>
    <tableColumn id="9" name="21 - 05" dataDxfId="4" totalsRowDxfId="3"/>
    <tableColumn id="13" name="Syg" totalsRowFunction="sum" totalsRowDxfId="2" dataCellStyle="Normal"/>
    <tableColumn id="12" name="Ferie/fridag/sh" totalsRowFunction="sum" totalsRowDxfId="1" dataCellStyle="Normal"/>
    <tableColumn id="11" name="I alt" totalsRowFunction="sum" totalsRowDxfId="0" dataCellStyle="Normal">
      <calculatedColumnFormula>IF(SUM(F13:K13)&gt;24,"Du har indtastet over 24 timer.",SUM(F13:K13))</calculatedColumnFormula>
    </tableColumn>
  </tableColumns>
  <tableStyleInfo name="Table Style 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ASR45"/>
  <sheetViews>
    <sheetView zoomScale="85" zoomScaleNormal="85" workbookViewId="0">
      <selection activeCell="A31" sqref="A31:A32"/>
    </sheetView>
  </sheetViews>
  <sheetFormatPr defaultColWidth="20" defaultRowHeight="15.75" x14ac:dyDescent="0.25"/>
  <cols>
    <col min="1" max="1" width="20" style="21"/>
    <col min="2" max="2" width="13.5703125" style="21" customWidth="1"/>
    <col min="3" max="4" width="11.42578125" style="21" customWidth="1"/>
    <col min="5" max="5" width="15.42578125" style="21" customWidth="1"/>
    <col min="6" max="6" width="9" style="21" customWidth="1"/>
    <col min="7" max="7" width="13.7109375" style="21" customWidth="1"/>
    <col min="8" max="8" width="13" style="21" customWidth="1"/>
    <col min="9" max="9" width="12" style="21" customWidth="1"/>
    <col min="10" max="10" width="11.28515625" style="21" customWidth="1"/>
    <col min="11" max="11" width="18.85546875" style="21" customWidth="1"/>
    <col min="12" max="12" width="17.28515625" style="21" customWidth="1"/>
    <col min="13" max="16384" width="20" style="21"/>
  </cols>
  <sheetData>
    <row r="1" spans="1:20" ht="38.25" customHeight="1" x14ac:dyDescent="0.25">
      <c r="A1" s="148" t="s">
        <v>53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20"/>
      <c r="N1" s="20"/>
      <c r="O1" s="20"/>
      <c r="P1" s="20"/>
      <c r="Q1" s="20"/>
      <c r="R1" s="20"/>
      <c r="S1" s="20"/>
      <c r="T1" s="20"/>
    </row>
    <row r="2" spans="1:20" s="24" customFormat="1" ht="24.75" customHeight="1" x14ac:dyDescent="0.2">
      <c r="A2" s="149" t="s">
        <v>54</v>
      </c>
      <c r="B2" s="149"/>
      <c r="C2" s="149"/>
      <c r="D2" s="149"/>
      <c r="E2" s="149"/>
      <c r="F2" s="149"/>
      <c r="G2" s="149"/>
      <c r="H2" s="149"/>
      <c r="I2" s="149"/>
      <c r="J2" s="149"/>
      <c r="K2" s="22" t="s">
        <v>55</v>
      </c>
      <c r="L2" s="39"/>
      <c r="M2" s="23"/>
      <c r="N2" s="23"/>
      <c r="O2" s="23"/>
      <c r="P2" s="23"/>
      <c r="Q2" s="23"/>
      <c r="R2" s="23"/>
      <c r="S2" s="23"/>
    </row>
    <row r="3" spans="1:20" s="27" customFormat="1" ht="12" customHeight="1" x14ac:dyDescent="0.2">
      <c r="A3" s="25"/>
      <c r="B3" s="25"/>
      <c r="C3" s="25"/>
      <c r="D3" s="25"/>
      <c r="E3" s="25"/>
      <c r="F3" s="25"/>
      <c r="G3" s="26"/>
      <c r="H3" s="26"/>
      <c r="I3" s="26"/>
      <c r="J3" s="26"/>
      <c r="K3" s="26"/>
      <c r="L3" s="26"/>
    </row>
    <row r="4" spans="1:20" s="27" customFormat="1" ht="12" customHeight="1" x14ac:dyDescent="0.2">
      <c r="A4" s="25"/>
      <c r="B4" s="25"/>
      <c r="C4" s="25"/>
      <c r="D4" s="25"/>
      <c r="E4" s="25"/>
      <c r="F4" s="25"/>
      <c r="G4" s="26"/>
      <c r="H4" s="26"/>
      <c r="I4" s="26"/>
      <c r="J4" s="26"/>
      <c r="K4" s="26"/>
      <c r="L4" s="26"/>
    </row>
    <row r="5" spans="1:20" s="27" customFormat="1" ht="12" customHeight="1" x14ac:dyDescent="0.2">
      <c r="A5" s="25"/>
      <c r="B5" s="25"/>
      <c r="C5" s="25"/>
      <c r="D5" s="25"/>
      <c r="E5" s="25"/>
      <c r="F5" s="25"/>
      <c r="G5" s="26"/>
      <c r="H5" s="26"/>
      <c r="I5" s="26"/>
      <c r="J5" s="26"/>
      <c r="K5" s="26"/>
      <c r="L5" s="26"/>
    </row>
    <row r="6" spans="1:20" s="29" customFormat="1" ht="12" customHeight="1" x14ac:dyDescent="0.2">
      <c r="A6" s="28"/>
      <c r="B6" s="28"/>
      <c r="C6" s="28"/>
      <c r="D6" s="28"/>
      <c r="E6" s="28"/>
      <c r="F6" s="28"/>
      <c r="G6" s="22"/>
      <c r="H6" s="22"/>
      <c r="I6" s="22"/>
      <c r="J6" s="22"/>
      <c r="K6" s="28"/>
      <c r="L6" s="28"/>
    </row>
    <row r="7" spans="1:20" s="29" customFormat="1" ht="20.100000000000001" customHeight="1" x14ac:dyDescent="0.2">
      <c r="A7" s="147" t="s">
        <v>41</v>
      </c>
      <c r="B7" s="147"/>
      <c r="C7" s="150"/>
      <c r="D7" s="150"/>
      <c r="E7" s="150"/>
      <c r="F7" s="150"/>
      <c r="G7" s="150"/>
      <c r="H7" s="56"/>
      <c r="I7" s="151" t="s">
        <v>42</v>
      </c>
      <c r="J7" s="152"/>
      <c r="K7" s="153"/>
      <c r="L7" s="89"/>
      <c r="N7" s="67"/>
      <c r="O7" s="30"/>
      <c r="P7" s="30"/>
    </row>
    <row r="8" spans="1:20" s="29" customFormat="1" ht="20.100000000000001" customHeight="1" x14ac:dyDescent="0.2">
      <c r="A8" s="147" t="s">
        <v>43</v>
      </c>
      <c r="B8" s="147"/>
      <c r="C8" s="150"/>
      <c r="D8" s="150"/>
      <c r="E8" s="150"/>
      <c r="F8" s="150"/>
      <c r="G8" s="150"/>
      <c r="H8" s="56"/>
      <c r="I8" s="151" t="s">
        <v>44</v>
      </c>
      <c r="J8" s="152"/>
      <c r="K8" s="153"/>
      <c r="L8" s="90">
        <v>43773</v>
      </c>
      <c r="N8" s="67"/>
    </row>
    <row r="9" spans="1:20" ht="20.100000000000001" customHeight="1" x14ac:dyDescent="0.25">
      <c r="A9" s="147" t="s">
        <v>45</v>
      </c>
      <c r="B9" s="147"/>
      <c r="C9" s="156"/>
      <c r="D9" s="156"/>
      <c r="E9" s="156"/>
      <c r="F9" s="156"/>
      <c r="G9" s="156"/>
      <c r="H9" s="56"/>
      <c r="I9" s="154" t="s">
        <v>46</v>
      </c>
      <c r="J9" s="154"/>
      <c r="K9" s="154"/>
      <c r="L9" s="90">
        <f>IF($L$8="","",$L$8+13)</f>
        <v>43786</v>
      </c>
      <c r="N9" s="68"/>
    </row>
    <row r="10" spans="1:20" ht="14.1" customHeight="1" x14ac:dyDescent="0.25">
      <c r="A10" s="31"/>
      <c r="B10" s="31"/>
      <c r="C10" s="31"/>
      <c r="D10" s="31"/>
      <c r="E10" s="31"/>
      <c r="F10" s="32"/>
      <c r="G10" s="31"/>
      <c r="H10" s="31"/>
      <c r="I10" s="31"/>
      <c r="J10" s="31"/>
      <c r="K10" s="32"/>
      <c r="L10" s="32"/>
      <c r="N10" s="68"/>
    </row>
    <row r="11" spans="1:20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20" s="29" customFormat="1" ht="39" customHeight="1" x14ac:dyDescent="0.2">
      <c r="A12" s="80" t="s">
        <v>47</v>
      </c>
      <c r="B12" s="80" t="s">
        <v>48</v>
      </c>
      <c r="C12" s="80" t="s">
        <v>59</v>
      </c>
      <c r="D12" s="80" t="s">
        <v>60</v>
      </c>
      <c r="E12" s="80" t="s">
        <v>61</v>
      </c>
      <c r="F12" s="81" t="s">
        <v>65</v>
      </c>
      <c r="G12" s="82" t="s">
        <v>64</v>
      </c>
      <c r="H12" s="82" t="s">
        <v>69</v>
      </c>
      <c r="I12" s="103" t="s">
        <v>77</v>
      </c>
      <c r="J12" s="80" t="s">
        <v>49</v>
      </c>
      <c r="K12" s="80" t="s">
        <v>57</v>
      </c>
      <c r="L12" s="80" t="s">
        <v>50</v>
      </c>
    </row>
    <row r="13" spans="1:20" s="29" customFormat="1" ht="15.75" customHeight="1" x14ac:dyDescent="0.2">
      <c r="A13" s="69" t="str">
        <f>PROPER(TEXT(WEEKDAY(Table1[[#This Row],[Dato]],1),"DDDD"))</f>
        <v>Mandag</v>
      </c>
      <c r="B13" s="34">
        <f>L8</f>
        <v>43773</v>
      </c>
      <c r="C13" s="59">
        <v>0.29166666666666669</v>
      </c>
      <c r="D13" s="59">
        <v>0.625</v>
      </c>
      <c r="E13" s="59">
        <f>IF(OR(Table1[[#This Row],[Start KL]]="",Table1[[#This Row],[Slut KL.]]=""),"0:0",Table1[[#This Row],[Slut KL.]]-Table1[[#This Row],[Start KL]]+(Table1[[#This Row],[Start KL]]&gt;D13))</f>
        <v>0.33333333333333331</v>
      </c>
      <c r="F13" s="65"/>
      <c r="G13" s="65"/>
      <c r="H13" s="65"/>
      <c r="I13" s="65"/>
      <c r="J13" s="35"/>
      <c r="K13" s="35"/>
      <c r="L13" s="65">
        <f>IF(OR(Table1[[#This Row],[Start KL]]="",Table1[[#This Row],[Slut KL.]]=""),"",IF(SUM(F13:K13)&gt;24,"Du har indtastet over 24 timer.",Table1[[#This Row],[ArbejdsTid]]))</f>
        <v>0.33333333333333331</v>
      </c>
    </row>
    <row r="14" spans="1:20" s="29" customFormat="1" ht="15.75" customHeight="1" x14ac:dyDescent="0.2">
      <c r="A14" s="69" t="str">
        <f>PROPER(TEXT(WEEKDAY(Table1[[#This Row],[Dato]],1),"DDDD"))</f>
        <v>Tirsdag</v>
      </c>
      <c r="B14" s="34">
        <f>IF($L$8="","",$L$8+1)</f>
        <v>43774</v>
      </c>
      <c r="C14" s="59">
        <v>0.25</v>
      </c>
      <c r="D14" s="59">
        <v>0.77083333333333337</v>
      </c>
      <c r="E14" s="59">
        <f>IF(OR(Table1[[#This Row],[Start KL]]="",Table1[[#This Row],[Slut KL.]]=""),"0:0",Table1[[#This Row],[Slut KL.]]-Table1[[#This Row],[Start KL]]+(Table1[[#This Row],[Start KL]]&gt;D14))</f>
        <v>0.52083333333333337</v>
      </c>
      <c r="F14" s="65"/>
      <c r="G14" s="65"/>
      <c r="H14" s="65"/>
      <c r="I14" s="65"/>
      <c r="J14" s="35"/>
      <c r="K14" s="35"/>
      <c r="L14" s="65">
        <f>IF(OR(Table1[[#This Row],[Start KL]]="",Table1[[#This Row],[Slut KL.]]=""),"",IF(SUM(F14:K14)&gt;24,"Du har indtastet over 24 timer.",Table1[[#This Row],[ArbejdsTid]]))</f>
        <v>0.52083333333333337</v>
      </c>
    </row>
    <row r="15" spans="1:20" s="29" customFormat="1" ht="15.75" customHeight="1" x14ac:dyDescent="0.2">
      <c r="A15" s="69" t="str">
        <f>PROPER(TEXT(WEEKDAY(Table1[[#This Row],[Dato]],1),"DDDD"))</f>
        <v>Onsdag</v>
      </c>
      <c r="B15" s="34">
        <f>IF($L$8="","",$L$8+2)</f>
        <v>43775</v>
      </c>
      <c r="C15" s="59">
        <v>0.25</v>
      </c>
      <c r="D15" s="59">
        <v>0.55833333333333335</v>
      </c>
      <c r="E15" s="59">
        <f>IF(OR(Table1[[#This Row],[Start KL]]="",Table1[[#This Row],[Slut KL.]]=""),"0:0",Table1[[#This Row],[Slut KL.]]-Table1[[#This Row],[Start KL]]+(Table1[[#This Row],[Start KL]]&gt;D15))</f>
        <v>0.30833333333333335</v>
      </c>
      <c r="F15" s="65"/>
      <c r="G15" s="65"/>
      <c r="H15" s="65"/>
      <c r="I15" s="65"/>
      <c r="J15" s="53"/>
      <c r="K15" s="35"/>
      <c r="L15" s="65">
        <f>IF(OR(Table1[[#This Row],[Start KL]]="",Table1[[#This Row],[Slut KL.]]=""),"",IF(SUM(F15:K15)&gt;24,"Du har indtastet over 24 timer.",Table1[[#This Row],[ArbejdsTid]]))</f>
        <v>0.30833333333333335</v>
      </c>
    </row>
    <row r="16" spans="1:20" s="29" customFormat="1" ht="15.75" customHeight="1" x14ac:dyDescent="0.2">
      <c r="A16" s="69" t="str">
        <f>PROPER(TEXT(WEEKDAY(Table1[[#This Row],[Dato]],1),"DDDD"))</f>
        <v>Torsdag</v>
      </c>
      <c r="B16" s="34">
        <f>IF($L$8="","",$L$8+3)</f>
        <v>43776</v>
      </c>
      <c r="C16" s="59">
        <v>0.25</v>
      </c>
      <c r="D16" s="59">
        <v>0.75</v>
      </c>
      <c r="E16" s="59">
        <f>IF(OR(Table1[[#This Row],[Start KL]]="",Table1[[#This Row],[Slut KL.]]=""),"0:0",Table1[[#This Row],[Slut KL.]]-Table1[[#This Row],[Start KL]]+(Table1[[#This Row],[Start KL]]&gt;D16))</f>
        <v>0.5</v>
      </c>
      <c r="F16" s="65"/>
      <c r="G16" s="65"/>
      <c r="H16" s="65"/>
      <c r="I16" s="65"/>
      <c r="J16" s="35"/>
      <c r="K16" s="35"/>
      <c r="L16" s="65">
        <f>IF(OR(Table1[[#This Row],[Start KL]]="",Table1[[#This Row],[Slut KL.]]=""),"",IF(SUM(F16:K16)&gt;24,"Du har indtastet over 24 timer.",Table1[[#This Row],[ArbejdsTid]]))</f>
        <v>0.5</v>
      </c>
    </row>
    <row r="17" spans="1:12" s="29" customFormat="1" ht="15.75" customHeight="1" x14ac:dyDescent="0.2">
      <c r="A17" s="69" t="str">
        <f>PROPER(TEXT(WEEKDAY(Table1[[#This Row],[Dato]],1),"DDDD"))</f>
        <v>Fredag</v>
      </c>
      <c r="B17" s="34">
        <f>IF($L$8="","",$L$8+4)</f>
        <v>43777</v>
      </c>
      <c r="C17" s="59">
        <v>0.25</v>
      </c>
      <c r="D17" s="59">
        <v>0.5</v>
      </c>
      <c r="E17" s="59">
        <f>IF(OR(Table1[[#This Row],[Start KL]]="",Table1[[#This Row],[Slut KL.]]=""),"0:0",Table1[[#This Row],[Slut KL.]]-Table1[[#This Row],[Start KL]]+(Table1[[#This Row],[Start KL]]&gt;D17))</f>
        <v>0.25</v>
      </c>
      <c r="F17" s="65"/>
      <c r="G17" s="65"/>
      <c r="H17" s="65"/>
      <c r="I17" s="65"/>
      <c r="J17" s="35"/>
      <c r="K17" s="35"/>
      <c r="L17" s="65">
        <f>IF(OR(Table1[[#This Row],[Start KL]]="",Table1[[#This Row],[Slut KL.]]=""),"",IF(SUM(F17:K17)&gt;24,"Du har indtastet over 24 timer.",Table1[[#This Row],[ArbejdsTid]]))</f>
        <v>0.25</v>
      </c>
    </row>
    <row r="18" spans="1:12" s="29" customFormat="1" ht="15.75" customHeight="1" x14ac:dyDescent="0.2">
      <c r="A18" s="69" t="str">
        <f>PROPER(TEXT(WEEKDAY(Table1[[#This Row],[Dato]],1),"DDDD"))</f>
        <v>Lørdag</v>
      </c>
      <c r="B18" s="34">
        <f>IF($L$8="","",$L$8+5)</f>
        <v>43778</v>
      </c>
      <c r="C18" s="59"/>
      <c r="D18" s="59"/>
      <c r="E18" s="59" t="str">
        <f>IF(OR(Table1[[#This Row],[Start KL]]="",Table1[[#This Row],[Slut KL.]]=""),"0:0",Table1[[#This Row],[Slut KL.]]-Table1[[#This Row],[Start KL]]+(Table1[[#This Row],[Start KL]]&gt;D18))</f>
        <v>0:0</v>
      </c>
      <c r="F18" s="65"/>
      <c r="G18" s="65"/>
      <c r="H18" s="65"/>
      <c r="I18" s="65"/>
      <c r="J18" s="35"/>
      <c r="K18" s="35"/>
      <c r="L18" s="65" t="str">
        <f>IF(OR(Table1[[#This Row],[Start KL]]="",Table1[[#This Row],[Slut KL.]]=""),"",IF(SUM(F18:K18)&gt;24,"Du har indtastet over 24 timer.",Table1[[#This Row],[ArbejdsTid]]))</f>
        <v/>
      </c>
    </row>
    <row r="19" spans="1:12" s="29" customFormat="1" ht="15.75" customHeight="1" x14ac:dyDescent="0.2">
      <c r="A19" s="94" t="str">
        <f>PROPER(TEXT(WEEKDAY(Table1[[#This Row],[Dato]],1),"DDDD"))</f>
        <v>Søndag</v>
      </c>
      <c r="B19" s="95">
        <f>IF($L$8="","",$L$8+6)</f>
        <v>43779</v>
      </c>
      <c r="C19" s="96"/>
      <c r="D19" s="96"/>
      <c r="E19" s="96" t="str">
        <f>IF(OR(Table1[[#This Row],[Start KL]]="",Table1[[#This Row],[Slut KL.]]=""),"0:0",Table1[[#This Row],[Slut KL.]]-Table1[[#This Row],[Start KL]]+(Table1[[#This Row],[Start KL]]&gt;D19))</f>
        <v>0:0</v>
      </c>
      <c r="F19" s="97"/>
      <c r="G19" s="97"/>
      <c r="H19" s="97"/>
      <c r="I19" s="97"/>
      <c r="J19" s="98"/>
      <c r="K19" s="98"/>
      <c r="L19" s="97" t="str">
        <f>IF(OR(Table1[[#This Row],[Start KL]]="",Table1[[#This Row],[Slut KL.]]=""),"",IF(SUM(F19:K19)&gt;24,"Du har indtastet over 24 timer.",Table1[[#This Row],[ArbejdsTid]]))</f>
        <v/>
      </c>
    </row>
    <row r="20" spans="1:12" s="29" customFormat="1" ht="15.75" customHeight="1" x14ac:dyDescent="0.2">
      <c r="A20" s="84" t="s">
        <v>68</v>
      </c>
      <c r="B20" s="60"/>
      <c r="C20" s="59"/>
      <c r="D20" s="59"/>
      <c r="E20" s="93">
        <f>SUM(E13:E19)</f>
        <v>1.9125000000000001</v>
      </c>
      <c r="F20" s="100">
        <v>1.5416666666666667</v>
      </c>
      <c r="G20" s="65">
        <f>IF(SUM(E14:E20)&lt;=T.!F10,"",IF(Table1[[#This Row],[ArbejdsTid]]&gt;=T.!$F$10,T.!$C$1,IF(Table1[[#This Row],[ArbejdsTid]]&gt;T.!$F$9,Table1[[#This Row],[ArbejdsTid]]-T.!$F$9,"")))</f>
        <v>0.20833333333333334</v>
      </c>
      <c r="H20" s="65">
        <f>IF(Table1[[#This Row],[ArbejdsTid]]&gt;T.!F10,Timesedel!E20-T.!F10,"")</f>
        <v>0.16250000000000009</v>
      </c>
      <c r="I20" s="65"/>
      <c r="J20" s="60"/>
      <c r="K20" s="60"/>
      <c r="L20" s="60"/>
    </row>
    <row r="21" spans="1:12" s="29" customFormat="1" ht="15.75" customHeight="1" x14ac:dyDescent="0.2">
      <c r="A21" s="60"/>
      <c r="B21" s="60"/>
      <c r="C21" s="59"/>
      <c r="D21" s="59"/>
      <c r="E21" s="59"/>
      <c r="F21" s="60"/>
      <c r="G21" s="60"/>
      <c r="H21" s="35"/>
      <c r="I21" s="35"/>
      <c r="J21" s="60"/>
      <c r="K21" s="60"/>
      <c r="L21" s="60"/>
    </row>
    <row r="22" spans="1:12" s="29" customFormat="1" ht="15.75" customHeight="1" x14ac:dyDescent="0.2">
      <c r="A22" s="60"/>
      <c r="B22" s="60"/>
      <c r="C22" s="59"/>
      <c r="D22" s="59"/>
      <c r="E22" s="59"/>
      <c r="F22" s="60"/>
      <c r="G22" s="60"/>
      <c r="H22" s="35"/>
      <c r="I22" s="35"/>
      <c r="J22" s="60"/>
      <c r="K22" s="60"/>
      <c r="L22" s="60"/>
    </row>
    <row r="23" spans="1:12" s="29" customFormat="1" ht="15.75" customHeight="1" x14ac:dyDescent="0.2">
      <c r="A23" s="73" t="s">
        <v>47</v>
      </c>
      <c r="B23" s="73" t="s">
        <v>48</v>
      </c>
      <c r="C23" s="73" t="s">
        <v>59</v>
      </c>
      <c r="D23" s="73" t="s">
        <v>60</v>
      </c>
      <c r="E23" s="74" t="s">
        <v>62</v>
      </c>
      <c r="F23" s="73" t="s">
        <v>66</v>
      </c>
      <c r="G23" s="73"/>
      <c r="H23" s="73"/>
      <c r="I23" s="73"/>
      <c r="J23" s="73" t="s">
        <v>49</v>
      </c>
      <c r="K23" s="73" t="s">
        <v>57</v>
      </c>
      <c r="L23" s="73" t="s">
        <v>50</v>
      </c>
    </row>
    <row r="24" spans="1:12" s="29" customFormat="1" ht="15.75" customHeight="1" x14ac:dyDescent="0.2">
      <c r="A24" s="69" t="str">
        <f>PROPER(TEXT(WEEKDAY(Table1[[#This Row],[Dato]],1),"DDDD"))</f>
        <v>Mandag</v>
      </c>
      <c r="B24" s="34">
        <f>IF($L$8="","",$L$8+7)</f>
        <v>43780</v>
      </c>
      <c r="C24" s="59">
        <v>0.30208333333333331</v>
      </c>
      <c r="D24" s="59">
        <v>0.65625</v>
      </c>
      <c r="E24" s="59">
        <f>IF(OR(Table1[[#This Row],[Start KL]]="",Table1[[#This Row],[Slut KL.]]=""),"",Table1[[#This Row],[Slut KL.]]-Table1[[#This Row],[Start KL]]+(Table1[[#This Row],[Start KL]]&gt;D24))</f>
        <v>0.35416666666666669</v>
      </c>
      <c r="F24" s="65">
        <f>CHOOSE(WEEKDAY(Table1[[#This Row],[Dato]],2),T.!$F$2,T.!$F$3,T.!$F$4,T.!$F$5,T.!$F$6,T.!$F$7,T.!$F$8)</f>
        <v>0.30833333333333335</v>
      </c>
      <c r="G24" s="65">
        <f>IF(Table1[[#This Row],[Start KL]]="","",IF(Table1[[#This Row],[ArbejdsTid]]&gt;=T.!$B$1,T.!$C$1,Timesedel!E24-F24))</f>
        <v>4.5833333333333337E-2</v>
      </c>
      <c r="H24" s="65" t="str">
        <f>IF(Table1[[#This Row],[ArbejdsTid]]&lt;&gt;"",IF(Table1[[#This Row],[ArbejdsTid]]&gt;T.!$B$1,Table1[[#This Row],[ArbejdsTid]]-T.!$B$1,""),"")</f>
        <v/>
      </c>
      <c r="I24" s="65"/>
      <c r="J24" s="35"/>
      <c r="K24" s="54"/>
      <c r="L24" s="65">
        <f>IF(OR(Table1[[#This Row],[Start KL]]="",Table1[[#This Row],[Slut KL.]]=""),"",IF(SUM(F24:K24)&gt;24,"Du har indtastet over 24 timer.",Table1[[#This Row],[ArbejdsTid]]))</f>
        <v>0.35416666666666669</v>
      </c>
    </row>
    <row r="25" spans="1:12" s="29" customFormat="1" ht="15.75" customHeight="1" x14ac:dyDescent="0.2">
      <c r="A25" s="69" t="str">
        <f>PROPER(TEXT(WEEKDAY(Table1[[#This Row],[Dato]],1),"DDDD"))</f>
        <v>Tirsdag</v>
      </c>
      <c r="B25" s="34">
        <f>IF($L$8="","",$L$8+8)</f>
        <v>43781</v>
      </c>
      <c r="C25" s="59"/>
      <c r="D25" s="59"/>
      <c r="E25" s="59" t="str">
        <f>IF(OR(Table1[[#This Row],[Start KL]]="",Table1[[#This Row],[Slut KL.]]=""),"",Table1[[#This Row],[Slut KL.]]-Table1[[#This Row],[Start KL]]+(Table1[[#This Row],[Start KL]]&gt;D25))</f>
        <v/>
      </c>
      <c r="F25" s="65">
        <f>CHOOSE(WEEKDAY(Table1[[#This Row],[Dato]],2),T.!$F$2,T.!$F$3,T.!$F$4,T.!$F$5,T.!$F$6,T.!$F$7,T.!$F$8)</f>
        <v>0.30833333333333335</v>
      </c>
      <c r="G25" s="65" t="str">
        <f>IF(Table1[[#This Row],[Start KL]]="","",IF(Table1[[#This Row],[ArbejdsTid]]&gt;=T.!$B$1,T.!$C$1,Timesedel!E25-F25))</f>
        <v/>
      </c>
      <c r="H25" s="65" t="str">
        <f>IF(Table1[[#This Row],[ArbejdsTid]]&lt;&gt;"",IF(Table1[[#This Row],[ArbejdsTid]]&gt;T.!$B$1,Table1[[#This Row],[ArbejdsTid]]-T.!$B$1,""),"")</f>
        <v/>
      </c>
      <c r="I25" s="65"/>
      <c r="J25" s="35"/>
      <c r="K25" s="53"/>
      <c r="L25" s="65" t="str">
        <f>IF(OR(Table1[[#This Row],[Start KL]]="",Table1[[#This Row],[Slut KL.]]=""),"",IF(SUM(F25:K25)&gt;24,"Du har indtastet over 24 timer.",Table1[[#This Row],[ArbejdsTid]]))</f>
        <v/>
      </c>
    </row>
    <row r="26" spans="1:12" s="29" customFormat="1" ht="15.75" customHeight="1" x14ac:dyDescent="0.2">
      <c r="A26" s="69" t="str">
        <f>PROPER(TEXT(WEEKDAY(Table1[[#This Row],[Dato]],1),"DDDD"))</f>
        <v>Onsdag</v>
      </c>
      <c r="B26" s="34">
        <f>IF($L$8="","",$L$8+9)</f>
        <v>43782</v>
      </c>
      <c r="C26" s="59"/>
      <c r="D26" s="59"/>
      <c r="E26" s="59" t="str">
        <f>IF(OR(Table1[[#This Row],[Start KL]]="",Table1[[#This Row],[Slut KL.]]=""),"",Table1[[#This Row],[Slut KL.]]-Table1[[#This Row],[Start KL]]+(Table1[[#This Row],[Start KL]]&gt;D26))</f>
        <v/>
      </c>
      <c r="F26" s="65">
        <f>CHOOSE(WEEKDAY(Table1[[#This Row],[Dato]],2),T.!$F$2,T.!$F$3,T.!$F$4,T.!$F$5,T.!$F$6,T.!$F$7,T.!$F$8)</f>
        <v>0.30833333333333335</v>
      </c>
      <c r="G26" s="65" t="str">
        <f>IF(Table1[[#This Row],[Start KL]]="","",IF(Table1[[#This Row],[ArbejdsTid]]&gt;=T.!$B$1,T.!$C$1,Timesedel!E26-F26))</f>
        <v/>
      </c>
      <c r="H26" s="65" t="str">
        <f>IF(Table1[[#This Row],[ArbejdsTid]]&lt;&gt;"",IF(Table1[[#This Row],[ArbejdsTid]]&gt;T.!$B$1,Table1[[#This Row],[ArbejdsTid]]-T.!$B$1,""),"")</f>
        <v/>
      </c>
      <c r="I26" s="65"/>
      <c r="J26" s="35"/>
      <c r="K26" s="55"/>
      <c r="L26" s="65" t="str">
        <f>IF(OR(Table1[[#This Row],[Start KL]]="",Table1[[#This Row],[Slut KL.]]=""),"",IF(SUM(F26:K26)&gt;24,"Du har indtastet over 24 timer.",Table1[[#This Row],[ArbejdsTid]]))</f>
        <v/>
      </c>
    </row>
    <row r="27" spans="1:12" s="29" customFormat="1" x14ac:dyDescent="0.2">
      <c r="A27" s="69" t="str">
        <f>PROPER(TEXT(WEEKDAY(Table1[[#This Row],[Dato]],1),"DDDD"))</f>
        <v>Torsdag</v>
      </c>
      <c r="B27" s="34">
        <f>IF($L$8="","",$L$8+10)</f>
        <v>43783</v>
      </c>
      <c r="C27" s="59"/>
      <c r="D27" s="59"/>
      <c r="E27" s="59" t="str">
        <f>IF(OR(Table1[[#This Row],[Start KL]]="",Table1[[#This Row],[Slut KL.]]=""),"",Table1[[#This Row],[Slut KL.]]-Table1[[#This Row],[Start KL]]+(Table1[[#This Row],[Start KL]]&gt;D27))</f>
        <v/>
      </c>
      <c r="F27" s="65">
        <f>CHOOSE(WEEKDAY(Table1[[#This Row],[Dato]],2),T.!$F$2,T.!$F$3,T.!$F$4,T.!$F$5,T.!$F$6,T.!$F$7,T.!$F$8)</f>
        <v>0.30833333333333335</v>
      </c>
      <c r="G27" s="65" t="str">
        <f>IF(Table1[[#This Row],[Start KL]]="","",IF(Table1[[#This Row],[ArbejdsTid]]&gt;=T.!$B$1,T.!$C$1,Timesedel!E27-F27))</f>
        <v/>
      </c>
      <c r="H27" s="65" t="str">
        <f>IF(Table1[[#This Row],[ArbejdsTid]]&lt;&gt;"",IF(Table1[[#This Row],[ArbejdsTid]]&gt;T.!$B$1,Table1[[#This Row],[ArbejdsTid]]-T.!$B$1,""),"")</f>
        <v/>
      </c>
      <c r="I27" s="65"/>
      <c r="J27" s="35"/>
      <c r="K27" s="53"/>
      <c r="L27" s="65" t="str">
        <f>IF(OR(Table1[[#This Row],[Start KL]]="",Table1[[#This Row],[Slut KL.]]=""),"",IF(SUM(F27:K27)&gt;24,"Du har indtastet over 24 timer.",Table1[[#This Row],[ArbejdsTid]]))</f>
        <v/>
      </c>
    </row>
    <row r="28" spans="1:12" s="29" customFormat="1" x14ac:dyDescent="0.2">
      <c r="A28" s="69" t="str">
        <f>PROPER(TEXT(WEEKDAY(Table1[[#This Row],[Dato]],1),"DDDD"))</f>
        <v>Fredag</v>
      </c>
      <c r="B28" s="34">
        <f>IF($L$8="","",$L$8+11)</f>
        <v>43784</v>
      </c>
      <c r="C28" s="59"/>
      <c r="D28" s="59"/>
      <c r="E28" s="59" t="str">
        <f>IF(OR(Table1[[#This Row],[Start KL]]="",Table1[[#This Row],[Slut KL.]]=""),"",Table1[[#This Row],[Slut KL.]]-Table1[[#This Row],[Start KL]]+(Table1[[#This Row],[Start KL]]&gt;D28))</f>
        <v/>
      </c>
      <c r="F28" s="65">
        <f>CHOOSE(WEEKDAY(Table1[[#This Row],[Dato]],2),T.!$F$2,T.!$F$3,T.!$F$4,T.!$F$5,T.!$F$6,T.!$F$7,T.!$F$8)</f>
        <v>0.30833333333333335</v>
      </c>
      <c r="G28" s="65" t="str">
        <f>IF(Table1[[#This Row],[Start KL]]="","",IF(Table1[[#This Row],[ArbejdsTid]]&gt;=T.!$B$1,T.!$C$1,Timesedel!E28-F28))</f>
        <v/>
      </c>
      <c r="H28" s="65" t="str">
        <f>IF(Table1[[#This Row],[ArbejdsTid]]&lt;&gt;"",IF(Table1[[#This Row],[ArbejdsTid]]&gt;T.!$B$1,Table1[[#This Row],[ArbejdsTid]]-T.!$B$1,""),"")</f>
        <v/>
      </c>
      <c r="I28" s="65"/>
      <c r="J28" s="35"/>
      <c r="K28" s="54" t="s">
        <v>58</v>
      </c>
      <c r="L28" s="65" t="str">
        <f>IF(OR(Table1[[#This Row],[Start KL]]="",Table1[[#This Row],[Slut KL.]]=""),"",IF(SUM(F28:K28)&gt;24,"Du har indtastet over 24 timer.",Table1[[#This Row],[ArbejdsTid]]))</f>
        <v/>
      </c>
    </row>
    <row r="29" spans="1:12" s="29" customFormat="1" x14ac:dyDescent="0.2">
      <c r="A29" s="69" t="str">
        <f>PROPER(TEXT(WEEKDAY(Table1[[#This Row],[Dato]],1),"DDDD"))</f>
        <v>Lørdag</v>
      </c>
      <c r="B29" s="34">
        <f>IF($L$8="","",$L$8+12)</f>
        <v>43785</v>
      </c>
      <c r="C29" s="59"/>
      <c r="D29" s="59"/>
      <c r="E29" s="59" t="str">
        <f>IF(OR(Table1[[#This Row],[Start KL]]="",Table1[[#This Row],[Slut KL.]]=""),"",Table1[[#This Row],[Slut KL.]]-Table1[[#This Row],[Start KL]]+(Table1[[#This Row],[Start KL]]&gt;D29))</f>
        <v/>
      </c>
      <c r="F29" s="65">
        <f>CHOOSE(WEEKDAY(Table1[[#This Row],[Dato]],2),T.!$F$2,T.!$F$3,T.!$F$4,T.!$F$5,T.!$F$6,T.!$F$7,T.!$F$8)</f>
        <v>0</v>
      </c>
      <c r="G29" s="65" t="str">
        <f>IF(Table1[[#This Row],[Start KL]]="","",IF(Table1[[#This Row],[ArbejdsTid]]&gt;=T.!$B$1,T.!$C$1,Timesedel!E29-F29))</f>
        <v/>
      </c>
      <c r="H29" s="65" t="str">
        <f>IF(Table1[[#This Row],[ArbejdsTid]]&lt;&gt;"",IF(Table1[[#This Row],[ArbejdsTid]]&gt;T.!$B$1,Table1[[#This Row],[ArbejdsTid]]-T.!$B$1,""),"")</f>
        <v/>
      </c>
      <c r="I29" s="65"/>
      <c r="J29" s="35"/>
      <c r="K29" s="35"/>
      <c r="L29" s="65" t="str">
        <f>IF(OR(Table1[[#This Row],[Start KL]]="",Table1[[#This Row],[Slut KL.]]=""),"",IF(SUM(F29:K29)&gt;24,"Du har indtastet over 24 timer.",Table1[[#This Row],[ArbejdsTid]]))</f>
        <v/>
      </c>
    </row>
    <row r="30" spans="1:12" s="29" customFormat="1" x14ac:dyDescent="0.2">
      <c r="A30" s="69" t="str">
        <f>PROPER(TEXT(WEEKDAY(Table1[[#This Row],[Dato]],1),"DDDD"))</f>
        <v>Søndag</v>
      </c>
      <c r="B30" s="34">
        <f>IF($L$8="","",$L$8+13)</f>
        <v>43786</v>
      </c>
      <c r="C30" s="59"/>
      <c r="D30" s="59"/>
      <c r="E30" s="59" t="str">
        <f>IF(OR(Table1[[#This Row],[Start KL]]="",Table1[[#This Row],[Slut KL.]]=""),"",Table1[[#This Row],[Slut KL.]]-Table1[[#This Row],[Start KL]]+(Table1[[#This Row],[Start KL]]&gt;D30))</f>
        <v/>
      </c>
      <c r="F30" s="65">
        <f>CHOOSE(WEEKDAY(Table1[[#This Row],[Dato]],2),T.!$F$2,T.!$F$3,T.!$F$4,T.!$F$5,T.!$F$6,T.!$F$7,T.!$F$8)</f>
        <v>0</v>
      </c>
      <c r="G30" s="65" t="str">
        <f>IF(Table1[[#This Row],[Start KL]]="","",IF(Table1[[#This Row],[ArbejdsTid]]&gt;=T.!$B$1,T.!$C$1,Timesedel!E30-F30))</f>
        <v/>
      </c>
      <c r="H30" s="65" t="str">
        <f>IF(Table1[[#This Row],[ArbejdsTid]]&lt;&gt;"",IF(Table1[[#This Row],[ArbejdsTid]]&gt;T.!$B$1,Table1[[#This Row],[ArbejdsTid]]-T.!$B$1,""),"")</f>
        <v/>
      </c>
      <c r="I30" s="65"/>
      <c r="J30" s="35"/>
      <c r="K30" s="35"/>
      <c r="L30" s="65" t="str">
        <f>IF(OR(Table1[[#This Row],[Start KL]]="",Table1[[#This Row],[Slut KL.]]=""),"",IF(SUM(F30:K30)&gt;24,"Du har indtastet over 24 timer.",Table1[[#This Row],[ArbejdsTid]]))</f>
        <v/>
      </c>
    </row>
    <row r="31" spans="1:12" s="29" customFormat="1" x14ac:dyDescent="0.2">
      <c r="A31" s="84" t="s">
        <v>68</v>
      </c>
      <c r="B31" s="84" t="s">
        <v>50</v>
      </c>
      <c r="C31" s="84"/>
      <c r="D31" s="84"/>
      <c r="E31" s="99">
        <f>SUM(E24:E30)</f>
        <v>0.35416666666666669</v>
      </c>
      <c r="F31" s="101"/>
      <c r="G31" s="102">
        <f>SUBTOTAL(109,Table1[fra 1 til 5 overtime])</f>
        <v>0.25416666666666665</v>
      </c>
      <c r="H31" s="102">
        <f>SUBTOTAL(109,Table1[[Fra 6 overtime ]])</f>
        <v>0.16250000000000009</v>
      </c>
      <c r="I31" s="102"/>
      <c r="J31" s="102">
        <f>SUBTOTAL(109,Table1[Syg])</f>
        <v>0</v>
      </c>
      <c r="K31" s="102">
        <f>SUBTOTAL(109,Table1[Ferie/fridag/sh])</f>
        <v>0</v>
      </c>
      <c r="L31" s="102">
        <f>SUBTOTAL(109,Table1[I alt])</f>
        <v>2.2666666666666666</v>
      </c>
    </row>
    <row r="32" spans="1:12" s="29" customFormat="1" x14ac:dyDescent="0.2">
      <c r="A32" s="84" t="s">
        <v>67</v>
      </c>
      <c r="B32" s="84"/>
      <c r="C32" s="84"/>
      <c r="D32" s="84"/>
      <c r="E32" s="85">
        <f>Table1[[#Totals],[ArbejdsTid]]*24</f>
        <v>8.5</v>
      </c>
      <c r="F32" s="85"/>
      <c r="G32" s="85">
        <f>Table1[[#Totals],[fra 1 til 5 overtime]]*24</f>
        <v>6.1</v>
      </c>
      <c r="H32" s="85">
        <f>Table1[[#Totals],[Fra 6 overtime ]]*24</f>
        <v>3.9000000000000021</v>
      </c>
      <c r="I32" s="85"/>
      <c r="J32" s="85">
        <f>Table1[[#Totals],[Syg]]*24</f>
        <v>0</v>
      </c>
      <c r="K32" s="85">
        <f>Table1[[#Totals],[Ferie/fridag/sh]]*24</f>
        <v>0</v>
      </c>
      <c r="L32" s="85">
        <f>Table1[[#Totals],[I alt]]*24</f>
        <v>54.4</v>
      </c>
    </row>
    <row r="33" spans="1:1188" s="29" customFormat="1" ht="16.5" thickBot="1" x14ac:dyDescent="0.25">
      <c r="A33" s="70"/>
      <c r="B33" s="71" t="s">
        <v>51</v>
      </c>
      <c r="C33" s="71"/>
      <c r="D33" s="71"/>
      <c r="E33" s="86">
        <f>T.!A2</f>
        <v>155.25</v>
      </c>
      <c r="F33" s="72"/>
      <c r="G33" s="87">
        <f>T.!A3</f>
        <v>37.550000000000011</v>
      </c>
      <c r="H33" s="87">
        <f>T.!A4</f>
        <v>92.22999999999999</v>
      </c>
      <c r="I33" s="87"/>
      <c r="J33" s="87">
        <v>155.25</v>
      </c>
      <c r="K33" s="87">
        <v>155.25</v>
      </c>
      <c r="L33" s="88"/>
    </row>
    <row r="34" spans="1:1188" s="64" customFormat="1" x14ac:dyDescent="0.2">
      <c r="A34" s="61"/>
      <c r="B34" s="62" t="s">
        <v>52</v>
      </c>
      <c r="C34" s="62"/>
      <c r="D34" s="62"/>
      <c r="E34" s="83">
        <f>E32*E33</f>
        <v>1319.625</v>
      </c>
      <c r="F34" s="63"/>
      <c r="G34" s="83">
        <f t="shared" ref="G34:K34" si="0">G32*G33</f>
        <v>229.05500000000006</v>
      </c>
      <c r="H34" s="83">
        <f t="shared" si="0"/>
        <v>359.69700000000017</v>
      </c>
      <c r="I34" s="83"/>
      <c r="J34" s="83">
        <f t="shared" si="0"/>
        <v>0</v>
      </c>
      <c r="K34" s="83">
        <f t="shared" si="0"/>
        <v>0</v>
      </c>
      <c r="L34" s="83">
        <f>SUM(E34:K34)</f>
        <v>1908.3770000000002</v>
      </c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  <c r="IW34" s="75"/>
      <c r="IX34" s="75"/>
      <c r="IY34" s="75"/>
      <c r="IZ34" s="75"/>
      <c r="JA34" s="75"/>
      <c r="JB34" s="75"/>
      <c r="JC34" s="75"/>
      <c r="JD34" s="75"/>
      <c r="JE34" s="75"/>
      <c r="JF34" s="75"/>
      <c r="JG34" s="75"/>
      <c r="JH34" s="75"/>
      <c r="JI34" s="75"/>
      <c r="JJ34" s="75"/>
      <c r="JK34" s="75"/>
      <c r="JL34" s="75"/>
      <c r="JM34" s="75"/>
      <c r="JN34" s="75"/>
      <c r="JO34" s="75"/>
      <c r="JP34" s="75"/>
      <c r="JQ34" s="75"/>
      <c r="JR34" s="75"/>
      <c r="JS34" s="75"/>
      <c r="JT34" s="75"/>
      <c r="JU34" s="75"/>
      <c r="JV34" s="75"/>
      <c r="JW34" s="75"/>
      <c r="JX34" s="75"/>
      <c r="JY34" s="75"/>
      <c r="JZ34" s="75"/>
      <c r="KA34" s="75"/>
      <c r="KB34" s="75"/>
      <c r="KC34" s="75"/>
      <c r="KD34" s="75"/>
      <c r="KE34" s="75"/>
      <c r="KF34" s="75"/>
      <c r="KG34" s="75"/>
      <c r="KH34" s="75"/>
      <c r="KI34" s="75"/>
      <c r="KJ34" s="75"/>
      <c r="KK34" s="75"/>
      <c r="KL34" s="75"/>
      <c r="KM34" s="75"/>
      <c r="KN34" s="75"/>
      <c r="KO34" s="75"/>
      <c r="KP34" s="75"/>
      <c r="KQ34" s="75"/>
      <c r="KR34" s="75"/>
      <c r="KS34" s="75"/>
      <c r="KT34" s="75"/>
      <c r="KU34" s="75"/>
      <c r="KV34" s="75"/>
      <c r="KW34" s="75"/>
      <c r="KX34" s="75"/>
      <c r="KY34" s="75"/>
      <c r="KZ34" s="75"/>
      <c r="LA34" s="75"/>
      <c r="LB34" s="75"/>
      <c r="LC34" s="75"/>
      <c r="LD34" s="75"/>
      <c r="LE34" s="75"/>
      <c r="LF34" s="75"/>
      <c r="LG34" s="75"/>
      <c r="LH34" s="75"/>
      <c r="LI34" s="75"/>
      <c r="LJ34" s="75"/>
      <c r="LK34" s="75"/>
      <c r="LL34" s="75"/>
      <c r="LM34" s="75"/>
      <c r="LN34" s="75"/>
      <c r="LO34" s="75"/>
      <c r="LP34" s="75"/>
      <c r="LQ34" s="75"/>
      <c r="LR34" s="75"/>
      <c r="LS34" s="75"/>
      <c r="LT34" s="75"/>
      <c r="LU34" s="75"/>
      <c r="LV34" s="75"/>
      <c r="LW34" s="75"/>
      <c r="LX34" s="75"/>
      <c r="LY34" s="75"/>
      <c r="LZ34" s="75"/>
      <c r="MA34" s="75"/>
      <c r="MB34" s="75"/>
      <c r="MC34" s="75"/>
      <c r="MD34" s="75"/>
      <c r="ME34" s="75"/>
      <c r="MF34" s="75"/>
      <c r="MG34" s="75"/>
      <c r="MH34" s="75"/>
      <c r="MI34" s="75"/>
      <c r="MJ34" s="75"/>
      <c r="MK34" s="75"/>
      <c r="ML34" s="75"/>
      <c r="MM34" s="75"/>
      <c r="MN34" s="75"/>
      <c r="MO34" s="75"/>
      <c r="MP34" s="75"/>
      <c r="MQ34" s="75"/>
      <c r="MR34" s="75"/>
      <c r="MS34" s="75"/>
      <c r="MT34" s="75"/>
      <c r="MU34" s="75"/>
      <c r="MV34" s="75"/>
      <c r="MW34" s="75"/>
      <c r="MX34" s="75"/>
      <c r="MY34" s="75"/>
      <c r="MZ34" s="75"/>
      <c r="NA34" s="75"/>
      <c r="NB34" s="75"/>
      <c r="NC34" s="75"/>
      <c r="ND34" s="75"/>
      <c r="NE34" s="75"/>
      <c r="NF34" s="75"/>
      <c r="NG34" s="75"/>
      <c r="NH34" s="75"/>
      <c r="NI34" s="75"/>
      <c r="NJ34" s="75"/>
      <c r="NK34" s="75"/>
      <c r="NL34" s="75"/>
      <c r="NM34" s="75"/>
      <c r="NN34" s="75"/>
      <c r="NO34" s="75"/>
      <c r="NP34" s="75"/>
      <c r="NQ34" s="75"/>
      <c r="NR34" s="75"/>
      <c r="NS34" s="75"/>
      <c r="NT34" s="75"/>
      <c r="NU34" s="75"/>
      <c r="NV34" s="75"/>
      <c r="NW34" s="75"/>
      <c r="NX34" s="75"/>
      <c r="NY34" s="75"/>
      <c r="NZ34" s="75"/>
      <c r="OA34" s="75"/>
      <c r="OB34" s="75"/>
      <c r="OC34" s="75"/>
      <c r="OD34" s="75"/>
      <c r="OE34" s="75"/>
      <c r="OF34" s="75"/>
      <c r="OG34" s="75"/>
      <c r="OH34" s="75"/>
      <c r="OI34" s="75"/>
      <c r="OJ34" s="75"/>
      <c r="OK34" s="75"/>
      <c r="OL34" s="75"/>
      <c r="OM34" s="75"/>
      <c r="ON34" s="75"/>
      <c r="OO34" s="75"/>
      <c r="OP34" s="75"/>
      <c r="OQ34" s="75"/>
      <c r="OR34" s="75"/>
      <c r="OS34" s="75"/>
      <c r="OT34" s="75"/>
      <c r="OU34" s="75"/>
      <c r="OV34" s="75"/>
      <c r="OW34" s="75"/>
      <c r="OX34" s="75"/>
      <c r="OY34" s="75"/>
      <c r="OZ34" s="75"/>
      <c r="PA34" s="75"/>
      <c r="PB34" s="75"/>
      <c r="PC34" s="75"/>
      <c r="PD34" s="75"/>
      <c r="PE34" s="75"/>
      <c r="PF34" s="75"/>
      <c r="PG34" s="75"/>
      <c r="PH34" s="75"/>
      <c r="PI34" s="75"/>
      <c r="PJ34" s="75"/>
      <c r="PK34" s="75"/>
      <c r="PL34" s="75"/>
      <c r="PM34" s="75"/>
      <c r="PN34" s="75"/>
      <c r="PO34" s="75"/>
      <c r="PP34" s="75"/>
      <c r="PQ34" s="75"/>
      <c r="PR34" s="75"/>
      <c r="PS34" s="75"/>
      <c r="PT34" s="75"/>
      <c r="PU34" s="75"/>
      <c r="PV34" s="75"/>
      <c r="PW34" s="75"/>
      <c r="PX34" s="75"/>
      <c r="PY34" s="75"/>
      <c r="PZ34" s="75"/>
      <c r="QA34" s="75"/>
      <c r="QB34" s="75"/>
      <c r="QC34" s="75"/>
      <c r="QD34" s="75"/>
      <c r="QE34" s="75"/>
      <c r="QF34" s="75"/>
      <c r="QG34" s="75"/>
      <c r="QH34" s="75"/>
      <c r="QI34" s="75"/>
      <c r="QJ34" s="75"/>
      <c r="QK34" s="75"/>
      <c r="QL34" s="75"/>
      <c r="QM34" s="75"/>
      <c r="QN34" s="75"/>
      <c r="QO34" s="75"/>
      <c r="QP34" s="75"/>
      <c r="QQ34" s="75"/>
      <c r="QR34" s="75"/>
      <c r="QS34" s="75"/>
      <c r="QT34" s="75"/>
      <c r="QU34" s="75"/>
      <c r="QV34" s="75"/>
      <c r="QW34" s="75"/>
      <c r="QX34" s="75"/>
      <c r="QY34" s="75"/>
      <c r="QZ34" s="75"/>
      <c r="RA34" s="75"/>
      <c r="RB34" s="75"/>
      <c r="RC34" s="75"/>
      <c r="RD34" s="75"/>
      <c r="RE34" s="75"/>
      <c r="RF34" s="75"/>
      <c r="RG34" s="75"/>
      <c r="RH34" s="75"/>
      <c r="RI34" s="75"/>
      <c r="RJ34" s="75"/>
      <c r="RK34" s="75"/>
      <c r="RL34" s="75"/>
      <c r="RM34" s="75"/>
      <c r="RN34" s="75"/>
      <c r="RO34" s="75"/>
      <c r="RP34" s="75"/>
      <c r="RQ34" s="75"/>
      <c r="RR34" s="75"/>
      <c r="RS34" s="75"/>
      <c r="RT34" s="75"/>
      <c r="RU34" s="75"/>
      <c r="RV34" s="75"/>
      <c r="RW34" s="75"/>
      <c r="RX34" s="75"/>
      <c r="RY34" s="75"/>
      <c r="RZ34" s="75"/>
      <c r="SA34" s="75"/>
      <c r="SB34" s="75"/>
      <c r="SC34" s="75"/>
      <c r="SD34" s="75"/>
      <c r="SE34" s="75"/>
      <c r="SF34" s="75"/>
      <c r="SG34" s="75"/>
      <c r="SH34" s="75"/>
      <c r="SI34" s="75"/>
      <c r="SJ34" s="75"/>
      <c r="SK34" s="75"/>
      <c r="SL34" s="75"/>
      <c r="SM34" s="75"/>
      <c r="SN34" s="75"/>
      <c r="SO34" s="75"/>
      <c r="SP34" s="75"/>
      <c r="SQ34" s="75"/>
      <c r="SR34" s="75"/>
      <c r="SS34" s="75"/>
      <c r="ST34" s="75"/>
      <c r="SU34" s="75"/>
      <c r="SV34" s="75"/>
      <c r="SW34" s="75"/>
      <c r="SX34" s="75"/>
      <c r="SY34" s="75"/>
      <c r="SZ34" s="75"/>
      <c r="TA34" s="75"/>
      <c r="TB34" s="75"/>
      <c r="TC34" s="75"/>
      <c r="TD34" s="75"/>
      <c r="TE34" s="75"/>
      <c r="TF34" s="75"/>
      <c r="TG34" s="75"/>
      <c r="TH34" s="75"/>
      <c r="TI34" s="75"/>
      <c r="TJ34" s="75"/>
      <c r="TK34" s="75"/>
      <c r="TL34" s="75"/>
      <c r="TM34" s="75"/>
      <c r="TN34" s="75"/>
      <c r="TO34" s="75"/>
      <c r="TP34" s="75"/>
      <c r="TQ34" s="75"/>
      <c r="TR34" s="75"/>
      <c r="TS34" s="75"/>
      <c r="TT34" s="75"/>
      <c r="TU34" s="75"/>
      <c r="TV34" s="75"/>
      <c r="TW34" s="75"/>
      <c r="TX34" s="75"/>
      <c r="TY34" s="75"/>
      <c r="TZ34" s="75"/>
      <c r="UA34" s="75"/>
      <c r="UB34" s="75"/>
      <c r="UC34" s="75"/>
      <c r="UD34" s="75"/>
      <c r="UE34" s="75"/>
      <c r="UF34" s="75"/>
      <c r="UG34" s="75"/>
      <c r="UH34" s="75"/>
      <c r="UI34" s="75"/>
      <c r="UJ34" s="75"/>
      <c r="UK34" s="75"/>
      <c r="UL34" s="75"/>
      <c r="UM34" s="75"/>
      <c r="UN34" s="75"/>
      <c r="UO34" s="75"/>
      <c r="UP34" s="75"/>
      <c r="UQ34" s="75"/>
      <c r="UR34" s="75"/>
      <c r="US34" s="75"/>
      <c r="UT34" s="75"/>
      <c r="UU34" s="75"/>
      <c r="UV34" s="75"/>
      <c r="UW34" s="75"/>
      <c r="UX34" s="75"/>
      <c r="UY34" s="75"/>
      <c r="UZ34" s="75"/>
      <c r="VA34" s="75"/>
      <c r="VB34" s="75"/>
      <c r="VC34" s="75"/>
      <c r="VD34" s="75"/>
      <c r="VE34" s="75"/>
      <c r="VF34" s="75"/>
      <c r="VG34" s="75"/>
      <c r="VH34" s="75"/>
      <c r="VI34" s="75"/>
      <c r="VJ34" s="75"/>
      <c r="VK34" s="75"/>
      <c r="VL34" s="75"/>
      <c r="VM34" s="75"/>
      <c r="VN34" s="75"/>
      <c r="VO34" s="75"/>
      <c r="VP34" s="75"/>
      <c r="VQ34" s="75"/>
      <c r="VR34" s="75"/>
      <c r="VS34" s="75"/>
      <c r="VT34" s="75"/>
      <c r="VU34" s="75"/>
      <c r="VV34" s="75"/>
      <c r="VW34" s="75"/>
      <c r="VX34" s="75"/>
      <c r="VY34" s="75"/>
      <c r="VZ34" s="75"/>
      <c r="WA34" s="75"/>
      <c r="WB34" s="75"/>
      <c r="WC34" s="75"/>
      <c r="WD34" s="75"/>
      <c r="WE34" s="75"/>
      <c r="WF34" s="75"/>
      <c r="WG34" s="75"/>
      <c r="WH34" s="75"/>
      <c r="WI34" s="75"/>
      <c r="WJ34" s="75"/>
      <c r="WK34" s="75"/>
      <c r="WL34" s="75"/>
      <c r="WM34" s="75"/>
      <c r="WN34" s="75"/>
      <c r="WO34" s="75"/>
      <c r="WP34" s="75"/>
      <c r="WQ34" s="75"/>
      <c r="WR34" s="75"/>
      <c r="WS34" s="75"/>
      <c r="WT34" s="75"/>
      <c r="WU34" s="75"/>
      <c r="WV34" s="75"/>
      <c r="WW34" s="75"/>
      <c r="WX34" s="75"/>
      <c r="WY34" s="75"/>
      <c r="WZ34" s="75"/>
      <c r="XA34" s="75"/>
      <c r="XB34" s="75"/>
      <c r="XC34" s="75"/>
      <c r="XD34" s="75"/>
      <c r="XE34" s="75"/>
      <c r="XF34" s="75"/>
      <c r="XG34" s="75"/>
      <c r="XH34" s="75"/>
      <c r="XI34" s="75"/>
      <c r="XJ34" s="75"/>
      <c r="XK34" s="75"/>
      <c r="XL34" s="75"/>
      <c r="XM34" s="75"/>
      <c r="XN34" s="75"/>
      <c r="XO34" s="75"/>
      <c r="XP34" s="75"/>
      <c r="XQ34" s="75"/>
      <c r="XR34" s="75"/>
      <c r="XS34" s="75"/>
      <c r="XT34" s="75"/>
      <c r="XU34" s="75"/>
      <c r="XV34" s="75"/>
      <c r="XW34" s="75"/>
      <c r="XX34" s="75"/>
      <c r="XY34" s="75"/>
      <c r="XZ34" s="75"/>
      <c r="YA34" s="75"/>
      <c r="YB34" s="75"/>
      <c r="YC34" s="75"/>
      <c r="YD34" s="75"/>
      <c r="YE34" s="75"/>
      <c r="YF34" s="75"/>
      <c r="YG34" s="75"/>
      <c r="YH34" s="75"/>
      <c r="YI34" s="75"/>
      <c r="YJ34" s="75"/>
      <c r="YK34" s="75"/>
      <c r="YL34" s="75"/>
      <c r="YM34" s="75"/>
      <c r="YN34" s="75"/>
      <c r="YO34" s="75"/>
      <c r="YP34" s="75"/>
      <c r="YQ34" s="75"/>
      <c r="YR34" s="75"/>
      <c r="YS34" s="75"/>
      <c r="YT34" s="75"/>
      <c r="YU34" s="75"/>
      <c r="YV34" s="75"/>
      <c r="YW34" s="75"/>
      <c r="YX34" s="75"/>
      <c r="YY34" s="75"/>
      <c r="YZ34" s="75"/>
      <c r="ZA34" s="75"/>
      <c r="ZB34" s="75"/>
      <c r="ZC34" s="75"/>
      <c r="ZD34" s="75"/>
      <c r="ZE34" s="75"/>
      <c r="ZF34" s="75"/>
      <c r="ZG34" s="75"/>
      <c r="ZH34" s="75"/>
      <c r="ZI34" s="75"/>
      <c r="ZJ34" s="75"/>
      <c r="ZK34" s="75"/>
      <c r="ZL34" s="75"/>
      <c r="ZM34" s="75"/>
      <c r="ZN34" s="75"/>
      <c r="ZO34" s="75"/>
      <c r="ZP34" s="75"/>
      <c r="ZQ34" s="75"/>
      <c r="ZR34" s="75"/>
      <c r="ZS34" s="75"/>
      <c r="ZT34" s="75"/>
      <c r="ZU34" s="75"/>
      <c r="ZV34" s="75"/>
      <c r="ZW34" s="75"/>
      <c r="ZX34" s="75"/>
      <c r="ZY34" s="75"/>
      <c r="ZZ34" s="75"/>
      <c r="AAA34" s="75"/>
      <c r="AAB34" s="75"/>
      <c r="AAC34" s="75"/>
      <c r="AAD34" s="75"/>
      <c r="AAE34" s="75"/>
      <c r="AAF34" s="75"/>
      <c r="AAG34" s="75"/>
      <c r="AAH34" s="75"/>
      <c r="AAI34" s="75"/>
      <c r="AAJ34" s="75"/>
      <c r="AAK34" s="75"/>
      <c r="AAL34" s="75"/>
      <c r="AAM34" s="75"/>
      <c r="AAN34" s="75"/>
      <c r="AAO34" s="75"/>
      <c r="AAP34" s="75"/>
      <c r="AAQ34" s="75"/>
      <c r="AAR34" s="75"/>
      <c r="AAS34" s="75"/>
      <c r="AAT34" s="75"/>
      <c r="AAU34" s="75"/>
      <c r="AAV34" s="75"/>
      <c r="AAW34" s="75"/>
      <c r="AAX34" s="75"/>
      <c r="AAY34" s="75"/>
      <c r="AAZ34" s="75"/>
      <c r="ABA34" s="75"/>
      <c r="ABB34" s="75"/>
      <c r="ABC34" s="75"/>
      <c r="ABD34" s="75"/>
      <c r="ABE34" s="75"/>
      <c r="ABF34" s="75"/>
      <c r="ABG34" s="75"/>
      <c r="ABH34" s="75"/>
      <c r="ABI34" s="75"/>
      <c r="ABJ34" s="75"/>
      <c r="ABK34" s="75"/>
      <c r="ABL34" s="75"/>
      <c r="ABM34" s="75"/>
      <c r="ABN34" s="75"/>
      <c r="ABO34" s="75"/>
      <c r="ABP34" s="75"/>
      <c r="ABQ34" s="75"/>
      <c r="ABR34" s="75"/>
      <c r="ABS34" s="75"/>
      <c r="ABT34" s="75"/>
      <c r="ABU34" s="75"/>
      <c r="ABV34" s="75"/>
      <c r="ABW34" s="75"/>
      <c r="ABX34" s="75"/>
      <c r="ABY34" s="75"/>
      <c r="ABZ34" s="75"/>
      <c r="ACA34" s="75"/>
      <c r="ACB34" s="75"/>
      <c r="ACC34" s="75"/>
      <c r="ACD34" s="75"/>
      <c r="ACE34" s="75"/>
      <c r="ACF34" s="75"/>
      <c r="ACG34" s="75"/>
      <c r="ACH34" s="75"/>
      <c r="ACI34" s="75"/>
      <c r="ACJ34" s="75"/>
      <c r="ACK34" s="75"/>
      <c r="ACL34" s="75"/>
      <c r="ACM34" s="75"/>
      <c r="ACN34" s="75"/>
      <c r="ACO34" s="75"/>
      <c r="ACP34" s="75"/>
      <c r="ACQ34" s="75"/>
      <c r="ACR34" s="75"/>
      <c r="ACS34" s="75"/>
      <c r="ACT34" s="75"/>
      <c r="ACU34" s="75"/>
      <c r="ACV34" s="75"/>
      <c r="ACW34" s="75"/>
      <c r="ACX34" s="75"/>
      <c r="ACY34" s="75"/>
      <c r="ACZ34" s="75"/>
      <c r="ADA34" s="75"/>
      <c r="ADB34" s="75"/>
      <c r="ADC34" s="75"/>
      <c r="ADD34" s="75"/>
      <c r="ADE34" s="75"/>
      <c r="ADF34" s="75"/>
      <c r="ADG34" s="75"/>
      <c r="ADH34" s="75"/>
      <c r="ADI34" s="75"/>
      <c r="ADJ34" s="75"/>
      <c r="ADK34" s="75"/>
      <c r="ADL34" s="75"/>
      <c r="ADM34" s="75"/>
      <c r="ADN34" s="75"/>
      <c r="ADO34" s="75"/>
      <c r="ADP34" s="75"/>
      <c r="ADQ34" s="75"/>
      <c r="ADR34" s="75"/>
      <c r="ADS34" s="75"/>
      <c r="ADT34" s="75"/>
      <c r="ADU34" s="75"/>
      <c r="ADV34" s="75"/>
      <c r="ADW34" s="75"/>
      <c r="ADX34" s="75"/>
      <c r="ADY34" s="75"/>
      <c r="ADZ34" s="75"/>
      <c r="AEA34" s="75"/>
      <c r="AEB34" s="75"/>
      <c r="AEC34" s="75"/>
      <c r="AED34" s="75"/>
      <c r="AEE34" s="75"/>
      <c r="AEF34" s="75"/>
      <c r="AEG34" s="75"/>
      <c r="AEH34" s="75"/>
      <c r="AEI34" s="75"/>
      <c r="AEJ34" s="75"/>
      <c r="AEK34" s="75"/>
      <c r="AEL34" s="75"/>
      <c r="AEM34" s="75"/>
      <c r="AEN34" s="75"/>
      <c r="AEO34" s="75"/>
      <c r="AEP34" s="75"/>
      <c r="AEQ34" s="75"/>
      <c r="AER34" s="75"/>
      <c r="AES34" s="75"/>
      <c r="AET34" s="75"/>
      <c r="AEU34" s="75"/>
      <c r="AEV34" s="75"/>
      <c r="AEW34" s="75"/>
      <c r="AEX34" s="75"/>
      <c r="AEY34" s="75"/>
      <c r="AEZ34" s="75"/>
      <c r="AFA34" s="75"/>
      <c r="AFB34" s="75"/>
      <c r="AFC34" s="75"/>
      <c r="AFD34" s="75"/>
      <c r="AFE34" s="75"/>
      <c r="AFF34" s="75"/>
      <c r="AFG34" s="75"/>
      <c r="AFH34" s="75"/>
      <c r="AFI34" s="75"/>
      <c r="AFJ34" s="75"/>
      <c r="AFK34" s="75"/>
      <c r="AFL34" s="75"/>
      <c r="AFM34" s="75"/>
      <c r="AFN34" s="75"/>
      <c r="AFO34" s="75"/>
      <c r="AFP34" s="75"/>
      <c r="AFQ34" s="75"/>
      <c r="AFR34" s="75"/>
      <c r="AFS34" s="75"/>
      <c r="AFT34" s="75"/>
      <c r="AFU34" s="75"/>
      <c r="AFV34" s="75"/>
      <c r="AFW34" s="75"/>
      <c r="AFX34" s="75"/>
      <c r="AFY34" s="75"/>
      <c r="AFZ34" s="75"/>
      <c r="AGA34" s="75"/>
      <c r="AGB34" s="75"/>
      <c r="AGC34" s="75"/>
      <c r="AGD34" s="75"/>
      <c r="AGE34" s="75"/>
      <c r="AGF34" s="75"/>
      <c r="AGG34" s="75"/>
      <c r="AGH34" s="75"/>
      <c r="AGI34" s="75"/>
      <c r="AGJ34" s="75"/>
      <c r="AGK34" s="75"/>
      <c r="AGL34" s="75"/>
      <c r="AGM34" s="75"/>
      <c r="AGN34" s="75"/>
      <c r="AGO34" s="75"/>
      <c r="AGP34" s="75"/>
      <c r="AGQ34" s="75"/>
      <c r="AGR34" s="75"/>
      <c r="AGS34" s="75"/>
      <c r="AGT34" s="75"/>
      <c r="AGU34" s="75"/>
      <c r="AGV34" s="75"/>
      <c r="AGW34" s="75"/>
      <c r="AGX34" s="75"/>
      <c r="AGY34" s="75"/>
      <c r="AGZ34" s="75"/>
      <c r="AHA34" s="75"/>
      <c r="AHB34" s="75"/>
      <c r="AHC34" s="75"/>
      <c r="AHD34" s="75"/>
      <c r="AHE34" s="75"/>
      <c r="AHF34" s="75"/>
      <c r="AHG34" s="75"/>
      <c r="AHH34" s="75"/>
      <c r="AHI34" s="75"/>
      <c r="AHJ34" s="75"/>
      <c r="AHK34" s="75"/>
      <c r="AHL34" s="75"/>
      <c r="AHM34" s="75"/>
      <c r="AHN34" s="75"/>
      <c r="AHO34" s="75"/>
      <c r="AHP34" s="75"/>
      <c r="AHQ34" s="75"/>
      <c r="AHR34" s="75"/>
      <c r="AHS34" s="75"/>
      <c r="AHT34" s="75"/>
      <c r="AHU34" s="75"/>
      <c r="AHV34" s="75"/>
      <c r="AHW34" s="75"/>
      <c r="AHX34" s="75"/>
      <c r="AHY34" s="75"/>
      <c r="AHZ34" s="75"/>
      <c r="AIA34" s="75"/>
      <c r="AIB34" s="75"/>
      <c r="AIC34" s="75"/>
      <c r="AID34" s="75"/>
      <c r="AIE34" s="75"/>
      <c r="AIF34" s="75"/>
      <c r="AIG34" s="75"/>
      <c r="AIH34" s="75"/>
      <c r="AII34" s="75"/>
      <c r="AIJ34" s="75"/>
      <c r="AIK34" s="75"/>
      <c r="AIL34" s="75"/>
      <c r="AIM34" s="75"/>
      <c r="AIN34" s="75"/>
      <c r="AIO34" s="75"/>
      <c r="AIP34" s="75"/>
      <c r="AIQ34" s="75"/>
      <c r="AIR34" s="75"/>
      <c r="AIS34" s="75"/>
      <c r="AIT34" s="75"/>
      <c r="AIU34" s="75"/>
      <c r="AIV34" s="75"/>
      <c r="AIW34" s="75"/>
      <c r="AIX34" s="75"/>
      <c r="AIY34" s="75"/>
      <c r="AIZ34" s="75"/>
      <c r="AJA34" s="75"/>
      <c r="AJB34" s="75"/>
      <c r="AJC34" s="75"/>
      <c r="AJD34" s="75"/>
      <c r="AJE34" s="75"/>
      <c r="AJF34" s="75"/>
      <c r="AJG34" s="75"/>
      <c r="AJH34" s="75"/>
      <c r="AJI34" s="75"/>
      <c r="AJJ34" s="75"/>
      <c r="AJK34" s="75"/>
      <c r="AJL34" s="75"/>
      <c r="AJM34" s="75"/>
      <c r="AJN34" s="75"/>
      <c r="AJO34" s="75"/>
      <c r="AJP34" s="75"/>
      <c r="AJQ34" s="75"/>
      <c r="AJR34" s="75"/>
      <c r="AJS34" s="75"/>
      <c r="AJT34" s="75"/>
      <c r="AJU34" s="75"/>
      <c r="AJV34" s="75"/>
      <c r="AJW34" s="75"/>
      <c r="AJX34" s="75"/>
      <c r="AJY34" s="75"/>
      <c r="AJZ34" s="75"/>
      <c r="AKA34" s="75"/>
      <c r="AKB34" s="75"/>
      <c r="AKC34" s="75"/>
      <c r="AKD34" s="75"/>
      <c r="AKE34" s="75"/>
      <c r="AKF34" s="75"/>
      <c r="AKG34" s="75"/>
      <c r="AKH34" s="75"/>
      <c r="AKI34" s="75"/>
      <c r="AKJ34" s="75"/>
      <c r="AKK34" s="75"/>
      <c r="AKL34" s="75"/>
      <c r="AKM34" s="75"/>
      <c r="AKN34" s="75"/>
      <c r="AKO34" s="75"/>
      <c r="AKP34" s="75"/>
      <c r="AKQ34" s="75"/>
      <c r="AKR34" s="75"/>
      <c r="AKS34" s="75"/>
      <c r="AKT34" s="75"/>
      <c r="AKU34" s="75"/>
      <c r="AKV34" s="75"/>
      <c r="AKW34" s="75"/>
      <c r="AKX34" s="75"/>
      <c r="AKY34" s="75"/>
      <c r="AKZ34" s="75"/>
      <c r="ALA34" s="75"/>
      <c r="ALB34" s="75"/>
      <c r="ALC34" s="75"/>
      <c r="ALD34" s="75"/>
      <c r="ALE34" s="75"/>
      <c r="ALF34" s="75"/>
      <c r="ALG34" s="75"/>
      <c r="ALH34" s="75"/>
      <c r="ALI34" s="75"/>
      <c r="ALJ34" s="75"/>
      <c r="ALK34" s="75"/>
      <c r="ALL34" s="75"/>
      <c r="ALM34" s="75"/>
      <c r="ALN34" s="75"/>
      <c r="ALO34" s="75"/>
      <c r="ALP34" s="75"/>
      <c r="ALQ34" s="75"/>
      <c r="ALR34" s="75"/>
      <c r="ALS34" s="75"/>
      <c r="ALT34" s="75"/>
      <c r="ALU34" s="75"/>
      <c r="ALV34" s="75"/>
      <c r="ALW34" s="75"/>
      <c r="ALX34" s="75"/>
      <c r="ALY34" s="75"/>
      <c r="ALZ34" s="75"/>
      <c r="AMA34" s="75"/>
      <c r="AMB34" s="75"/>
      <c r="AMC34" s="75"/>
      <c r="AMD34" s="75"/>
      <c r="AME34" s="75"/>
      <c r="AMF34" s="75"/>
      <c r="AMG34" s="75"/>
      <c r="AMH34" s="75"/>
      <c r="AMI34" s="75"/>
      <c r="AMJ34" s="75"/>
      <c r="AMK34" s="75"/>
      <c r="AML34" s="75"/>
      <c r="AMM34" s="75"/>
      <c r="AMN34" s="75"/>
      <c r="AMO34" s="75"/>
      <c r="AMP34" s="75"/>
      <c r="AMQ34" s="75"/>
      <c r="AMR34" s="75"/>
      <c r="AMS34" s="75"/>
      <c r="AMT34" s="75"/>
      <c r="AMU34" s="75"/>
      <c r="AMV34" s="75"/>
      <c r="AMW34" s="75"/>
      <c r="AMX34" s="75"/>
      <c r="AMY34" s="75"/>
      <c r="AMZ34" s="75"/>
      <c r="ANA34" s="75"/>
      <c r="ANB34" s="75"/>
      <c r="ANC34" s="75"/>
      <c r="AND34" s="75"/>
      <c r="ANE34" s="75"/>
      <c r="ANF34" s="75"/>
      <c r="ANG34" s="75"/>
      <c r="ANH34" s="75"/>
      <c r="ANI34" s="75"/>
      <c r="ANJ34" s="75"/>
      <c r="ANK34" s="75"/>
      <c r="ANL34" s="75"/>
      <c r="ANM34" s="75"/>
      <c r="ANN34" s="75"/>
      <c r="ANO34" s="75"/>
      <c r="ANP34" s="75"/>
      <c r="ANQ34" s="75"/>
      <c r="ANR34" s="75"/>
      <c r="ANS34" s="75"/>
      <c r="ANT34" s="75"/>
      <c r="ANU34" s="75"/>
      <c r="ANV34" s="75"/>
      <c r="ANW34" s="75"/>
      <c r="ANX34" s="75"/>
      <c r="ANY34" s="75"/>
      <c r="ANZ34" s="75"/>
      <c r="AOA34" s="75"/>
      <c r="AOB34" s="75"/>
      <c r="AOC34" s="75"/>
      <c r="AOD34" s="75"/>
      <c r="AOE34" s="75"/>
      <c r="AOF34" s="75"/>
      <c r="AOG34" s="75"/>
      <c r="AOH34" s="75"/>
      <c r="AOI34" s="75"/>
      <c r="AOJ34" s="75"/>
      <c r="AOK34" s="75"/>
      <c r="AOL34" s="75"/>
      <c r="AOM34" s="75"/>
      <c r="AON34" s="75"/>
      <c r="AOO34" s="75"/>
      <c r="AOP34" s="75"/>
      <c r="AOQ34" s="75"/>
      <c r="AOR34" s="75"/>
      <c r="AOS34" s="75"/>
      <c r="AOT34" s="75"/>
      <c r="AOU34" s="75"/>
      <c r="AOV34" s="75"/>
      <c r="AOW34" s="75"/>
      <c r="AOX34" s="75"/>
      <c r="AOY34" s="75"/>
      <c r="AOZ34" s="75"/>
      <c r="APA34" s="75"/>
      <c r="APB34" s="75"/>
      <c r="APC34" s="75"/>
      <c r="APD34" s="75"/>
      <c r="APE34" s="75"/>
      <c r="APF34" s="75"/>
      <c r="APG34" s="75"/>
      <c r="APH34" s="75"/>
      <c r="API34" s="75"/>
      <c r="APJ34" s="75"/>
      <c r="APK34" s="75"/>
      <c r="APL34" s="75"/>
      <c r="APM34" s="75"/>
      <c r="APN34" s="75"/>
      <c r="APO34" s="75"/>
      <c r="APP34" s="75"/>
      <c r="APQ34" s="75"/>
      <c r="APR34" s="75"/>
      <c r="APS34" s="75"/>
      <c r="APT34" s="75"/>
      <c r="APU34" s="75"/>
      <c r="APV34" s="75"/>
      <c r="APW34" s="75"/>
      <c r="APX34" s="75"/>
      <c r="APY34" s="75"/>
      <c r="APZ34" s="75"/>
      <c r="AQA34" s="75"/>
      <c r="AQB34" s="75"/>
      <c r="AQC34" s="75"/>
      <c r="AQD34" s="75"/>
      <c r="AQE34" s="75"/>
      <c r="AQF34" s="75"/>
      <c r="AQG34" s="75"/>
      <c r="AQH34" s="75"/>
      <c r="AQI34" s="75"/>
      <c r="AQJ34" s="75"/>
      <c r="AQK34" s="75"/>
      <c r="AQL34" s="75"/>
      <c r="AQM34" s="75"/>
      <c r="AQN34" s="75"/>
      <c r="AQO34" s="75"/>
      <c r="AQP34" s="75"/>
      <c r="AQQ34" s="75"/>
      <c r="AQR34" s="75"/>
      <c r="AQS34" s="75"/>
      <c r="AQT34" s="75"/>
      <c r="AQU34" s="75"/>
      <c r="AQV34" s="75"/>
      <c r="AQW34" s="75"/>
      <c r="AQX34" s="75"/>
      <c r="AQY34" s="75"/>
      <c r="AQZ34" s="75"/>
      <c r="ARA34" s="75"/>
      <c r="ARB34" s="75"/>
      <c r="ARC34" s="75"/>
      <c r="ARD34" s="75"/>
      <c r="ARE34" s="75"/>
      <c r="ARF34" s="75"/>
      <c r="ARG34" s="75"/>
      <c r="ARH34" s="75"/>
      <c r="ARI34" s="75"/>
      <c r="ARJ34" s="75"/>
      <c r="ARK34" s="75"/>
      <c r="ARL34" s="75"/>
      <c r="ARM34" s="75"/>
      <c r="ARN34" s="75"/>
      <c r="ARO34" s="75"/>
      <c r="ARP34" s="75"/>
      <c r="ARQ34" s="75"/>
      <c r="ARR34" s="75"/>
      <c r="ARS34" s="75"/>
      <c r="ART34" s="75"/>
      <c r="ARU34" s="75"/>
      <c r="ARV34" s="75"/>
      <c r="ARW34" s="75"/>
      <c r="ARX34" s="75"/>
      <c r="ARY34" s="75"/>
      <c r="ARZ34" s="75"/>
      <c r="ASA34" s="75"/>
      <c r="ASB34" s="75"/>
      <c r="ASC34" s="75"/>
      <c r="ASD34" s="75"/>
      <c r="ASE34" s="75"/>
      <c r="ASF34" s="75"/>
      <c r="ASG34" s="75"/>
      <c r="ASH34" s="75"/>
      <c r="ASI34" s="75"/>
      <c r="ASJ34" s="75"/>
      <c r="ASK34" s="75"/>
      <c r="ASL34" s="75"/>
      <c r="ASM34" s="75"/>
      <c r="ASN34" s="75"/>
      <c r="ASO34" s="75"/>
      <c r="ASP34" s="75"/>
      <c r="ASQ34" s="75"/>
      <c r="ASR34" s="75"/>
    </row>
    <row r="37" spans="1:1188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188" x14ac:dyDescent="0.2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1:1188" s="38" customFormat="1" x14ac:dyDescent="0.2">
      <c r="A39" s="155"/>
      <c r="B39" s="155"/>
      <c r="C39" s="91"/>
      <c r="D39" s="91"/>
      <c r="E39" s="91"/>
      <c r="F39" s="58"/>
      <c r="G39" s="58"/>
      <c r="H39" s="58"/>
      <c r="I39" s="58"/>
      <c r="J39" s="92"/>
      <c r="K39" s="91"/>
      <c r="L39" s="58"/>
    </row>
    <row r="40" spans="1:1188" s="38" customFormat="1" x14ac:dyDescent="0.2">
      <c r="A40" s="155"/>
      <c r="B40" s="155"/>
      <c r="C40" s="91"/>
      <c r="D40" s="91"/>
      <c r="E40" s="91"/>
      <c r="F40" s="58"/>
      <c r="G40" s="58"/>
      <c r="H40" s="58"/>
      <c r="I40" s="58"/>
      <c r="J40" s="92"/>
      <c r="K40" s="91"/>
      <c r="L40" s="58"/>
    </row>
    <row r="41" spans="1:1188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5" spans="1:1188" x14ac:dyDescent="0.25">
      <c r="F45"/>
    </row>
  </sheetData>
  <mergeCells count="13">
    <mergeCell ref="I9:K9"/>
    <mergeCell ref="A9:B9"/>
    <mergeCell ref="A39:B39"/>
    <mergeCell ref="A40:B40"/>
    <mergeCell ref="C9:G9"/>
    <mergeCell ref="A8:B8"/>
    <mergeCell ref="A1:L1"/>
    <mergeCell ref="A2:J2"/>
    <mergeCell ref="A7:B7"/>
    <mergeCell ref="C7:G7"/>
    <mergeCell ref="C8:G8"/>
    <mergeCell ref="I7:K7"/>
    <mergeCell ref="I8:K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ignoredErrors>
    <ignoredError sqref="E13:E20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F10"/>
  <sheetViews>
    <sheetView workbookViewId="0">
      <selection activeCell="F8" sqref="F8"/>
    </sheetView>
  </sheetViews>
  <sheetFormatPr defaultRowHeight="12.75" x14ac:dyDescent="0.2"/>
  <sheetData>
    <row r="1" spans="1:6" x14ac:dyDescent="0.2">
      <c r="A1" s="76" t="s">
        <v>63</v>
      </c>
      <c r="B1" s="66">
        <v>0.51666666666666672</v>
      </c>
      <c r="C1" s="66">
        <v>0.20833333333333334</v>
      </c>
      <c r="E1" s="157" t="s">
        <v>66</v>
      </c>
      <c r="F1" s="157"/>
    </row>
    <row r="2" spans="1:6" x14ac:dyDescent="0.2">
      <c r="A2" s="77">
        <v>155.25</v>
      </c>
      <c r="E2" s="78" t="s">
        <v>70</v>
      </c>
      <c r="F2" s="79">
        <v>0.30833333333333335</v>
      </c>
    </row>
    <row r="3" spans="1:6" x14ac:dyDescent="0.2">
      <c r="A3" s="77">
        <f>B3-A2</f>
        <v>37.550000000000011</v>
      </c>
      <c r="B3">
        <v>192.8</v>
      </c>
      <c r="E3" s="78" t="s">
        <v>71</v>
      </c>
      <c r="F3" s="79">
        <v>0.30833333333333335</v>
      </c>
    </row>
    <row r="4" spans="1:6" x14ac:dyDescent="0.2">
      <c r="A4" s="77">
        <f>B4-A2</f>
        <v>92.22999999999999</v>
      </c>
      <c r="B4">
        <v>247.48</v>
      </c>
      <c r="E4" s="78" t="s">
        <v>72</v>
      </c>
      <c r="F4" s="79">
        <v>0.30833333333333335</v>
      </c>
    </row>
    <row r="5" spans="1:6" x14ac:dyDescent="0.2">
      <c r="E5" s="78" t="s">
        <v>73</v>
      </c>
      <c r="F5" s="79">
        <v>0.30833333333333335</v>
      </c>
    </row>
    <row r="6" spans="1:6" x14ac:dyDescent="0.2">
      <c r="E6" s="78" t="s">
        <v>74</v>
      </c>
      <c r="F6" s="79">
        <v>0.30833333333333335</v>
      </c>
    </row>
    <row r="7" spans="1:6" x14ac:dyDescent="0.2">
      <c r="E7" s="78" t="s">
        <v>75</v>
      </c>
      <c r="F7" s="79">
        <v>0</v>
      </c>
    </row>
    <row r="8" spans="1:6" x14ac:dyDescent="0.2">
      <c r="E8" s="78" t="s">
        <v>76</v>
      </c>
      <c r="F8" s="79">
        <v>0</v>
      </c>
    </row>
    <row r="9" spans="1:6" x14ac:dyDescent="0.2">
      <c r="F9" s="79">
        <v>1.5416666666666667</v>
      </c>
    </row>
    <row r="10" spans="1:6" x14ac:dyDescent="0.2">
      <c r="F10" s="79">
        <v>1.75</v>
      </c>
    </row>
  </sheetData>
  <mergeCells count="1">
    <mergeCell ref="E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F43"/>
  <sheetViews>
    <sheetView showFormulas="1" zoomScale="87" zoomScaleNormal="87" workbookViewId="0">
      <selection activeCell="B15" sqref="B15"/>
    </sheetView>
  </sheetViews>
  <sheetFormatPr defaultColWidth="11.5703125" defaultRowHeight="12.75" x14ac:dyDescent="0.2"/>
  <cols>
    <col min="1" max="1" width="28.85546875" style="1" customWidth="1"/>
    <col min="2" max="2" width="23" style="1" customWidth="1"/>
    <col min="3" max="3" width="25.140625" style="1" customWidth="1"/>
    <col min="4" max="4" width="24.28515625" style="1" customWidth="1"/>
    <col min="5" max="5" width="18.42578125" style="1" customWidth="1"/>
    <col min="6" max="6" width="11.5703125" style="1" customWidth="1"/>
    <col min="7" max="16384" width="11.5703125" style="1"/>
  </cols>
  <sheetData>
    <row r="1" spans="1:6" ht="14.25" thickTop="1" thickBot="1" x14ac:dyDescent="0.25">
      <c r="A1" s="16" t="s">
        <v>0</v>
      </c>
      <c r="B1" s="17"/>
      <c r="C1" s="17"/>
      <c r="D1" s="17"/>
      <c r="E1" s="17"/>
      <c r="F1" s="14"/>
    </row>
    <row r="2" spans="1:6" ht="13.5" thickTop="1" x14ac:dyDescent="0.2">
      <c r="A2" s="45"/>
      <c r="F2" s="14"/>
    </row>
    <row r="3" spans="1:6" ht="15" x14ac:dyDescent="0.2">
      <c r="A3" s="15" t="s">
        <v>32</v>
      </c>
      <c r="C3" s="1" t="s">
        <v>1</v>
      </c>
      <c r="D3" s="3" t="s">
        <v>39</v>
      </c>
      <c r="F3" s="14"/>
    </row>
    <row r="4" spans="1:6" ht="15" x14ac:dyDescent="0.2">
      <c r="A4" s="15" t="s">
        <v>33</v>
      </c>
      <c r="C4" s="1" t="s">
        <v>2</v>
      </c>
      <c r="D4" s="3">
        <v>38</v>
      </c>
      <c r="F4" s="14"/>
    </row>
    <row r="5" spans="1:6" ht="15" x14ac:dyDescent="0.2">
      <c r="A5" s="15" t="s">
        <v>34</v>
      </c>
      <c r="C5" s="1" t="s">
        <v>30</v>
      </c>
      <c r="D5" s="4">
        <v>2482</v>
      </c>
      <c r="F5" s="14"/>
    </row>
    <row r="6" spans="1:6" x14ac:dyDescent="0.2">
      <c r="A6" s="14"/>
      <c r="C6" s="1" t="s">
        <v>3</v>
      </c>
      <c r="D6" s="3" t="s">
        <v>40</v>
      </c>
      <c r="F6" s="14"/>
    </row>
    <row r="7" spans="1:6" x14ac:dyDescent="0.2">
      <c r="A7" s="14"/>
      <c r="C7" s="1" t="s">
        <v>4</v>
      </c>
      <c r="D7" s="3" t="s">
        <v>31</v>
      </c>
      <c r="F7" s="14"/>
    </row>
    <row r="8" spans="1:6" x14ac:dyDescent="0.2">
      <c r="A8" s="14"/>
      <c r="D8" s="3" t="s">
        <v>37</v>
      </c>
      <c r="F8" s="14"/>
    </row>
    <row r="9" spans="1:6" x14ac:dyDescent="0.2">
      <c r="A9" s="14"/>
      <c r="D9" s="3" t="s">
        <v>38</v>
      </c>
      <c r="F9" s="14"/>
    </row>
    <row r="10" spans="1:6" x14ac:dyDescent="0.2">
      <c r="A10" s="46"/>
      <c r="B10" s="18"/>
      <c r="C10" s="18"/>
      <c r="D10" s="19"/>
      <c r="E10" s="18"/>
      <c r="F10" s="40"/>
    </row>
    <row r="11" spans="1:6" ht="15" x14ac:dyDescent="0.2">
      <c r="A11" s="14"/>
      <c r="D11" s="2"/>
      <c r="F11" s="14"/>
    </row>
    <row r="12" spans="1:6" s="2" customFormat="1" ht="15.75" x14ac:dyDescent="0.25">
      <c r="A12" s="47" t="s">
        <v>5</v>
      </c>
      <c r="B12" s="5" t="s">
        <v>56</v>
      </c>
      <c r="C12" s="5"/>
      <c r="F12" s="15"/>
    </row>
    <row r="13" spans="1:6" s="2" customFormat="1" ht="15" x14ac:dyDescent="0.2">
      <c r="A13" s="15"/>
      <c r="F13" s="15"/>
    </row>
    <row r="14" spans="1:6" s="2" customFormat="1" ht="15.75" thickBot="1" x14ac:dyDescent="0.25">
      <c r="A14" s="15" t="s">
        <v>6</v>
      </c>
      <c r="F14" s="15"/>
    </row>
    <row r="15" spans="1:6" s="2" customFormat="1" ht="15.75" x14ac:dyDescent="0.2">
      <c r="A15" s="15" t="s">
        <v>7</v>
      </c>
      <c r="C15" s="6"/>
      <c r="E15" s="36">
        <v>12470</v>
      </c>
      <c r="F15" s="15"/>
    </row>
    <row r="16" spans="1:6" s="2" customFormat="1" ht="15" x14ac:dyDescent="0.2">
      <c r="A16" s="15" t="s">
        <v>8</v>
      </c>
      <c r="E16" s="6">
        <v>47.4</v>
      </c>
      <c r="F16" s="15"/>
    </row>
    <row r="17" spans="1:6" s="2" customFormat="1" ht="15" x14ac:dyDescent="0.2">
      <c r="A17" s="15" t="s">
        <v>9</v>
      </c>
      <c r="B17" s="7" t="s">
        <v>10</v>
      </c>
      <c r="C17" s="6">
        <f>+E15</f>
        <v>12470</v>
      </c>
      <c r="E17" s="6">
        <f>+(C17/100)*4</f>
        <v>498.8</v>
      </c>
      <c r="F17" s="15"/>
    </row>
    <row r="18" spans="1:6" s="2" customFormat="1" ht="15" x14ac:dyDescent="0.2">
      <c r="A18" s="15" t="s">
        <v>11</v>
      </c>
      <c r="B18" s="7" t="s">
        <v>12</v>
      </c>
      <c r="C18" s="6">
        <f>+E15-E16-E17</f>
        <v>11923.800000000001</v>
      </c>
      <c r="E18" s="6">
        <f>ROUND(+(C18/100)*8,0)</f>
        <v>954</v>
      </c>
      <c r="F18" s="15"/>
    </row>
    <row r="19" spans="1:6" s="2" customFormat="1" ht="15" x14ac:dyDescent="0.2">
      <c r="A19" s="48" t="s">
        <v>13</v>
      </c>
      <c r="B19" s="41"/>
      <c r="C19" s="41"/>
      <c r="D19" s="41"/>
      <c r="E19" s="42">
        <f>+E15-E16-E18-E17</f>
        <v>10969.800000000001</v>
      </c>
      <c r="F19" s="15"/>
    </row>
    <row r="20" spans="1:6" s="2" customFormat="1" ht="15" x14ac:dyDescent="0.2">
      <c r="A20" s="15"/>
      <c r="F20" s="15"/>
    </row>
    <row r="21" spans="1:6" s="2" customFormat="1" ht="15" x14ac:dyDescent="0.2">
      <c r="A21" s="15" t="s">
        <v>14</v>
      </c>
      <c r="D21" s="6">
        <f>+E19</f>
        <v>10969.800000000001</v>
      </c>
      <c r="F21" s="15"/>
    </row>
    <row r="22" spans="1:6" s="2" customFormat="1" ht="15" x14ac:dyDescent="0.2">
      <c r="A22" s="15" t="s">
        <v>36</v>
      </c>
      <c r="D22" s="6">
        <f>+D5</f>
        <v>2482</v>
      </c>
      <c r="F22" s="15"/>
    </row>
    <row r="23" spans="1:6" s="2" customFormat="1" ht="15" x14ac:dyDescent="0.2">
      <c r="A23" s="49" t="s">
        <v>15</v>
      </c>
      <c r="B23" s="8"/>
      <c r="C23" s="8"/>
      <c r="D23" s="9">
        <f>+D21-D22</f>
        <v>8487.8000000000011</v>
      </c>
      <c r="F23" s="15"/>
    </row>
    <row r="24" spans="1:6" s="2" customFormat="1" ht="15" x14ac:dyDescent="0.2">
      <c r="A24" s="15"/>
      <c r="F24" s="15"/>
    </row>
    <row r="25" spans="1:6" s="2" customFormat="1" ht="15" x14ac:dyDescent="0.2">
      <c r="A25" s="15" t="s">
        <v>16</v>
      </c>
      <c r="B25" s="7" t="s">
        <v>35</v>
      </c>
      <c r="C25" s="6">
        <f>+D23</f>
        <v>8487.8000000000011</v>
      </c>
      <c r="E25" s="6">
        <f>ROUND(+(C25/100)*D4,0)</f>
        <v>3225</v>
      </c>
      <c r="F25" s="15"/>
    </row>
    <row r="26" spans="1:6" s="2" customFormat="1" ht="15" x14ac:dyDescent="0.2">
      <c r="A26" s="15"/>
      <c r="F26" s="15"/>
    </row>
    <row r="27" spans="1:6" s="2" customFormat="1" ht="15.75" x14ac:dyDescent="0.25">
      <c r="A27" s="50" t="s">
        <v>17</v>
      </c>
      <c r="B27" s="43"/>
      <c r="C27" s="43"/>
      <c r="D27" s="43"/>
      <c r="E27" s="44">
        <f>+E19-E25</f>
        <v>7744.8000000000011</v>
      </c>
      <c r="F27" s="15"/>
    </row>
    <row r="28" spans="1:6" s="2" customFormat="1" ht="15" x14ac:dyDescent="0.2">
      <c r="A28" s="15"/>
      <c r="F28" s="15"/>
    </row>
    <row r="29" spans="1:6" s="2" customFormat="1" ht="15.75" x14ac:dyDescent="0.25">
      <c r="A29" s="51" t="s">
        <v>18</v>
      </c>
      <c r="B29" s="10"/>
      <c r="C29" s="11" t="s">
        <v>19</v>
      </c>
      <c r="D29" s="10"/>
      <c r="E29" s="11" t="s">
        <v>20</v>
      </c>
      <c r="F29" s="15"/>
    </row>
    <row r="30" spans="1:6" s="2" customFormat="1" ht="15" x14ac:dyDescent="0.2">
      <c r="A30" s="15" t="s">
        <v>21</v>
      </c>
      <c r="C30" s="6">
        <f>+C18</f>
        <v>11923.800000000001</v>
      </c>
      <c r="E30" s="6">
        <f t="shared" ref="E30:E38" si="0">SUM(C30)</f>
        <v>11923.800000000001</v>
      </c>
      <c r="F30" s="15"/>
    </row>
    <row r="31" spans="1:6" s="2" customFormat="1" ht="15" x14ac:dyDescent="0.2">
      <c r="A31" s="15" t="s">
        <v>22</v>
      </c>
      <c r="C31" s="6">
        <f>+D21</f>
        <v>10969.800000000001</v>
      </c>
      <c r="E31" s="6">
        <f t="shared" si="0"/>
        <v>10969.800000000001</v>
      </c>
      <c r="F31" s="15"/>
    </row>
    <row r="32" spans="1:6" s="2" customFormat="1" ht="15" x14ac:dyDescent="0.2">
      <c r="A32" s="15" t="s">
        <v>23</v>
      </c>
      <c r="C32" s="6">
        <f>+E25</f>
        <v>3225</v>
      </c>
      <c r="E32" s="6">
        <f t="shared" si="0"/>
        <v>3225</v>
      </c>
      <c r="F32" s="15"/>
    </row>
    <row r="33" spans="1:6" s="2" customFormat="1" ht="15" x14ac:dyDescent="0.2">
      <c r="A33" s="15" t="s">
        <v>24</v>
      </c>
      <c r="C33" s="6">
        <f>+E18</f>
        <v>954</v>
      </c>
      <c r="E33" s="6">
        <f t="shared" si="0"/>
        <v>954</v>
      </c>
      <c r="F33" s="15"/>
    </row>
    <row r="34" spans="1:6" s="2" customFormat="1" ht="15" x14ac:dyDescent="0.2">
      <c r="A34" s="15" t="s">
        <v>25</v>
      </c>
      <c r="C34" s="6">
        <f>+E16</f>
        <v>47.4</v>
      </c>
      <c r="E34" s="6">
        <f t="shared" si="0"/>
        <v>47.4</v>
      </c>
      <c r="F34" s="15"/>
    </row>
    <row r="35" spans="1:6" s="2" customFormat="1" ht="15" x14ac:dyDescent="0.2">
      <c r="A35" s="15" t="s">
        <v>26</v>
      </c>
      <c r="C35" s="6">
        <v>180</v>
      </c>
      <c r="E35" s="6">
        <f t="shared" si="0"/>
        <v>180</v>
      </c>
      <c r="F35" s="15"/>
    </row>
    <row r="36" spans="1:6" s="2" customFormat="1" ht="15" x14ac:dyDescent="0.2">
      <c r="A36" s="15" t="s">
        <v>27</v>
      </c>
      <c r="B36" s="12">
        <v>0.04</v>
      </c>
      <c r="C36" s="6">
        <f>+E17</f>
        <v>498.8</v>
      </c>
      <c r="E36" s="6">
        <f t="shared" si="0"/>
        <v>498.8</v>
      </c>
      <c r="F36" s="15"/>
    </row>
    <row r="37" spans="1:6" s="2" customFormat="1" ht="15" x14ac:dyDescent="0.2">
      <c r="A37" s="15" t="s">
        <v>28</v>
      </c>
      <c r="B37" s="13">
        <v>0.08</v>
      </c>
      <c r="C37" s="6">
        <f>+(C17/100)*6</f>
        <v>748.2</v>
      </c>
      <c r="E37" s="6">
        <f t="shared" si="0"/>
        <v>748.2</v>
      </c>
      <c r="F37" s="15"/>
    </row>
    <row r="38" spans="1:6" s="2" customFormat="1" ht="15" x14ac:dyDescent="0.2">
      <c r="A38" s="15" t="s">
        <v>7</v>
      </c>
      <c r="C38" s="6">
        <f>SUM(C15:C15)</f>
        <v>0</v>
      </c>
      <c r="E38" s="6">
        <f t="shared" si="0"/>
        <v>0</v>
      </c>
      <c r="F38" s="15"/>
    </row>
    <row r="39" spans="1:6" s="2" customFormat="1" ht="15.75" thickBot="1" x14ac:dyDescent="0.25">
      <c r="A39" s="15" t="s">
        <v>29</v>
      </c>
      <c r="F39" s="15"/>
    </row>
    <row r="40" spans="1:6" s="2" customFormat="1" ht="15.75" thickTop="1" x14ac:dyDescent="0.2">
      <c r="A40" s="52"/>
      <c r="B40" s="52"/>
      <c r="C40" s="52"/>
      <c r="D40" s="52"/>
      <c r="E40" s="52"/>
    </row>
    <row r="41" spans="1:6" s="2" customFormat="1" ht="15" x14ac:dyDescent="0.2"/>
    <row r="42" spans="1:6" s="2" customFormat="1" ht="15" x14ac:dyDescent="0.2"/>
    <row r="43" spans="1:6" s="2" customFormat="1" ht="15" x14ac:dyDescent="0.2"/>
  </sheetData>
  <sheetProtection selectLockedCells="1" selectUnlockedCells="1"/>
  <printOptions gridLines="1"/>
  <pageMargins left="0.39370078740157483" right="0.19685039370078741" top="0.47244094488188981" bottom="0.27559055118110237" header="0.19685039370078741" footer="0.19685039370078741"/>
  <pageSetup paperSize="9" orientation="landscape" useFirstPageNumber="1" r:id="rId1"/>
  <headerFooter alignWithMargins="0">
    <oddHeader>&amp;C&amp;"Times New Roman,normal"&amp;12&amp;A</oddHeader>
    <oddFooter>&amp;C&amp;"Times New Roman,normal"&amp;12Side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workbookViewId="0">
      <selection activeCell="I28" sqref="I28"/>
    </sheetView>
  </sheetViews>
  <sheetFormatPr defaultColWidth="9.140625" defaultRowHeight="12.75" x14ac:dyDescent="0.2"/>
  <cols>
    <col min="1" max="1" width="10.5703125" style="105" customWidth="1"/>
    <col min="2" max="2" width="13.140625" style="105" customWidth="1"/>
    <col min="3" max="4" width="9.140625" style="105"/>
    <col min="5" max="5" width="11.85546875" style="105" customWidth="1"/>
    <col min="6" max="7" width="9.140625" style="105"/>
    <col min="8" max="8" width="11.28515625" style="105" customWidth="1"/>
    <col min="9" max="9" width="11" style="105" customWidth="1"/>
    <col min="10" max="10" width="9.140625" style="105"/>
    <col min="11" max="11" width="12.42578125" style="105" customWidth="1"/>
    <col min="12" max="12" width="13.5703125" style="105" customWidth="1"/>
    <col min="13" max="16384" width="9.140625" style="105"/>
  </cols>
  <sheetData>
    <row r="1" spans="1:12" ht="39" customHeight="1" x14ac:dyDescent="0.2">
      <c r="A1" s="148" t="s">
        <v>53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5.75" x14ac:dyDescent="0.2">
      <c r="A2" s="149" t="s">
        <v>54</v>
      </c>
      <c r="B2" s="149"/>
      <c r="C2" s="149"/>
      <c r="D2" s="149"/>
      <c r="E2" s="149"/>
      <c r="F2" s="149"/>
      <c r="G2" s="149"/>
      <c r="H2" s="149"/>
      <c r="I2" s="149"/>
      <c r="J2" s="149"/>
      <c r="K2" s="22" t="s">
        <v>55</v>
      </c>
      <c r="L2" s="39"/>
    </row>
    <row r="7" spans="1:12" ht="15" x14ac:dyDescent="0.2">
      <c r="A7" s="158" t="s">
        <v>41</v>
      </c>
      <c r="B7" s="158"/>
      <c r="C7" s="159"/>
      <c r="D7" s="159"/>
      <c r="E7" s="159"/>
      <c r="F7" s="159"/>
      <c r="G7" s="159"/>
      <c r="H7" s="106"/>
      <c r="I7" s="160" t="s">
        <v>42</v>
      </c>
      <c r="J7" s="161"/>
      <c r="K7" s="162"/>
      <c r="L7" s="107"/>
    </row>
    <row r="8" spans="1:12" ht="15" x14ac:dyDescent="0.2">
      <c r="A8" s="158" t="s">
        <v>43</v>
      </c>
      <c r="B8" s="158"/>
      <c r="C8" s="159"/>
      <c r="D8" s="159"/>
      <c r="E8" s="159"/>
      <c r="F8" s="159"/>
      <c r="G8" s="159"/>
      <c r="H8" s="106"/>
      <c r="I8" s="160" t="s">
        <v>44</v>
      </c>
      <c r="J8" s="161"/>
      <c r="K8" s="162"/>
      <c r="L8" s="104">
        <v>43773</v>
      </c>
    </row>
    <row r="9" spans="1:12" ht="15" x14ac:dyDescent="0.2">
      <c r="A9" s="158" t="s">
        <v>45</v>
      </c>
      <c r="B9" s="158"/>
      <c r="C9" s="164"/>
      <c r="D9" s="164"/>
      <c r="E9" s="164"/>
      <c r="F9" s="164"/>
      <c r="G9" s="164"/>
      <c r="H9" s="106"/>
      <c r="I9" s="165" t="s">
        <v>46</v>
      </c>
      <c r="J9" s="165"/>
      <c r="K9" s="165"/>
      <c r="L9" s="104">
        <f>IF($L$8="","",$L$8+13)</f>
        <v>43786</v>
      </c>
    </row>
    <row r="12" spans="1:12" ht="30" x14ac:dyDescent="0.2">
      <c r="A12" s="109" t="s">
        <v>47</v>
      </c>
      <c r="B12" s="109" t="s">
        <v>48</v>
      </c>
      <c r="C12" s="109" t="s">
        <v>59</v>
      </c>
      <c r="D12" s="109" t="s">
        <v>60</v>
      </c>
      <c r="E12" s="109" t="s">
        <v>61</v>
      </c>
      <c r="F12" s="109" t="s">
        <v>65</v>
      </c>
      <c r="G12" s="110" t="s">
        <v>64</v>
      </c>
      <c r="H12" s="110" t="s">
        <v>69</v>
      </c>
      <c r="I12" s="110" t="s">
        <v>77</v>
      </c>
      <c r="J12" s="109" t="s">
        <v>49</v>
      </c>
      <c r="K12" s="110" t="s">
        <v>57</v>
      </c>
      <c r="L12" s="109" t="s">
        <v>50</v>
      </c>
    </row>
    <row r="13" spans="1:12" ht="15" x14ac:dyDescent="0.2">
      <c r="A13" s="111" t="str">
        <f>PROPER(TEXT(WEEKDAY(B13,1),"DDDD"))</f>
        <v>Mandag</v>
      </c>
      <c r="B13" s="112">
        <f>L8</f>
        <v>43773</v>
      </c>
      <c r="C13" s="113">
        <v>0.33333333333333331</v>
      </c>
      <c r="D13" s="113">
        <v>0.6875</v>
      </c>
      <c r="E13" s="114">
        <f>IF(OR(C13="",D13=""),"0:0",D13-C13+(C13&gt;D13))</f>
        <v>0.35416666666666669</v>
      </c>
      <c r="F13" s="115"/>
      <c r="G13" s="115"/>
      <c r="H13" s="115"/>
      <c r="I13" s="115"/>
      <c r="J13" s="116"/>
      <c r="K13" s="116"/>
      <c r="L13" s="115">
        <f>IF(OR(Table1[[#This Row],[Start KL]]="",Table1[[#This Row],[Slut KL.]]=""),"",IF(SUM(F13:K13)&gt;24,"Du har indtastet over 24 timer.",Table1[[#This Row],[ArbejdsTid]]))</f>
        <v>0.33333333333333331</v>
      </c>
    </row>
    <row r="14" spans="1:12" ht="15" x14ac:dyDescent="0.2">
      <c r="A14" s="117" t="str">
        <f t="shared" ref="A14:A19" si="0">PROPER(TEXT(WEEKDAY(B14,1),"DDDD"))</f>
        <v>Tirsdag</v>
      </c>
      <c r="B14" s="118">
        <f>B13+1</f>
        <v>43774</v>
      </c>
      <c r="C14" s="119">
        <v>0.29166666666666669</v>
      </c>
      <c r="D14" s="119">
        <v>0.54166666666666663</v>
      </c>
      <c r="E14" s="120">
        <f>IF(OR(C14="",D14=""),"0:0",D14-C14+(C14&gt;D14))</f>
        <v>0.24999999999999994</v>
      </c>
      <c r="F14" s="121"/>
      <c r="G14" s="121"/>
      <c r="H14" s="121"/>
      <c r="I14" s="121"/>
      <c r="J14" s="122"/>
      <c r="K14" s="122"/>
      <c r="L14" s="121">
        <f>IF(OR(Table1[[#This Row],[Start KL]]="",Table1[[#This Row],[Slut KL.]]=""),"",IF(SUM(F14:K14)&gt;24,"Du har indtastet over 24 timer.",Table1[[#This Row],[ArbejdsTid]]))</f>
        <v>0.52083333333333337</v>
      </c>
    </row>
    <row r="15" spans="1:12" ht="15" x14ac:dyDescent="0.25">
      <c r="A15" s="123" t="str">
        <f t="shared" si="0"/>
        <v>Onsdag</v>
      </c>
      <c r="B15" s="118">
        <f t="shared" ref="B15:B19" si="1">B14+1</f>
        <v>43775</v>
      </c>
      <c r="C15" s="113">
        <v>0.29166666666666669</v>
      </c>
      <c r="D15" s="113">
        <v>0.625</v>
      </c>
      <c r="E15" s="114">
        <f>IF(OR(C15="",D15=""),"0:0",D15-C15+(C15&gt;D15))</f>
        <v>0.33333333333333331</v>
      </c>
      <c r="F15" s="115"/>
      <c r="G15" s="115"/>
      <c r="H15" s="115"/>
      <c r="I15" s="115"/>
      <c r="J15" s="124"/>
      <c r="K15" s="116"/>
      <c r="L15" s="115">
        <f>IF(OR(Table1[[#This Row],[Start KL]]="",Table1[[#This Row],[Slut KL.]]=""),"",IF(SUM(F15:K15)&gt;24,"Du har indtastet over 24 timer.",Table1[[#This Row],[ArbejdsTid]]))</f>
        <v>0.30833333333333335</v>
      </c>
    </row>
    <row r="16" spans="1:12" ht="15" x14ac:dyDescent="0.2">
      <c r="A16" s="117" t="str">
        <f t="shared" si="0"/>
        <v>Torsdag</v>
      </c>
      <c r="B16" s="118">
        <f t="shared" si="1"/>
        <v>43776</v>
      </c>
      <c r="C16" s="119">
        <v>0.33333333333333331</v>
      </c>
      <c r="D16" s="119">
        <v>0.6875</v>
      </c>
      <c r="E16" s="120">
        <f t="shared" ref="E16:E17" si="2">IF(OR(C16="",D16=""),"0:0",D16-C16+(C16&gt;D16))</f>
        <v>0.35416666666666669</v>
      </c>
      <c r="F16" s="121"/>
      <c r="G16" s="121"/>
      <c r="H16" s="121"/>
      <c r="I16" s="121"/>
      <c r="J16" s="122"/>
      <c r="K16" s="122"/>
      <c r="L16" s="121">
        <f>IF(OR(Table1[[#This Row],[Start KL]]="",Table1[[#This Row],[Slut KL.]]=""),"",IF(SUM(F16:K16)&gt;24,"Du har indtastet over 24 timer.",Table1[[#This Row],[ArbejdsTid]]))</f>
        <v>0.5</v>
      </c>
    </row>
    <row r="17" spans="1:12" ht="15" x14ac:dyDescent="0.2">
      <c r="A17" s="111" t="str">
        <f t="shared" si="0"/>
        <v>Fredag</v>
      </c>
      <c r="B17" s="118">
        <f t="shared" si="1"/>
        <v>43777</v>
      </c>
      <c r="C17" s="113">
        <v>0.33333333333333331</v>
      </c>
      <c r="D17" s="113">
        <v>0.60416666666666663</v>
      </c>
      <c r="E17" s="114">
        <f t="shared" si="2"/>
        <v>0.27083333333333331</v>
      </c>
      <c r="F17" s="115"/>
      <c r="G17" s="115"/>
      <c r="H17" s="115"/>
      <c r="I17" s="115"/>
      <c r="J17" s="116"/>
      <c r="K17" s="116"/>
      <c r="L17" s="115">
        <f>IF(OR(Table1[[#This Row],[Start KL]]="",Table1[[#This Row],[Slut KL.]]=""),"",IF(SUM(F17:K17)&gt;24,"Du har indtastet over 24 timer.",Table1[[#This Row],[ArbejdsTid]]))</f>
        <v>0.25</v>
      </c>
    </row>
    <row r="18" spans="1:12" ht="15" x14ac:dyDescent="0.2">
      <c r="A18" s="117" t="str">
        <f t="shared" si="0"/>
        <v>Lørdag</v>
      </c>
      <c r="B18" s="118">
        <f t="shared" si="1"/>
        <v>43778</v>
      </c>
      <c r="C18" s="119"/>
      <c r="D18" s="119"/>
      <c r="E18" s="120" t="str">
        <f>IF(OR(C18="",D18=""),"00:00",D18-C18+(C18&gt;D18))</f>
        <v>00:00</v>
      </c>
      <c r="F18" s="121"/>
      <c r="G18" s="121"/>
      <c r="H18" s="121"/>
      <c r="I18" s="121"/>
      <c r="J18" s="122"/>
      <c r="K18" s="122"/>
      <c r="L18" s="121" t="str">
        <f>IF(OR(Table1[[#This Row],[Start KL]]="",Table1[[#This Row],[Slut KL.]]=""),"",IF(SUM(F18:K18)&gt;24,"Du har indtastet over 24 timer.",Table1[[#This Row],[ArbejdsTid]]))</f>
        <v/>
      </c>
    </row>
    <row r="19" spans="1:12" ht="15.75" thickBot="1" x14ac:dyDescent="0.25">
      <c r="A19" s="141" t="str">
        <f t="shared" si="0"/>
        <v>Søndag</v>
      </c>
      <c r="B19" s="142">
        <f t="shared" si="1"/>
        <v>43779</v>
      </c>
      <c r="C19" s="143"/>
      <c r="D19" s="143"/>
      <c r="E19" s="144" t="str">
        <f>IF(OR(C19="",D19=""),"00:00",D19-C19+(C19&gt;D19))</f>
        <v>00:00</v>
      </c>
      <c r="F19" s="145"/>
      <c r="G19" s="145"/>
      <c r="H19" s="145"/>
      <c r="I19" s="145"/>
      <c r="J19" s="146"/>
      <c r="K19" s="146"/>
      <c r="L19" s="145" t="str">
        <f>IF(OR(Table1[[#This Row],[Start KL]]="",Table1[[#This Row],[Slut KL.]]=""),"",IF(SUM(F19:K19)&gt;24,"Du har indtastet over 24 timer.",Table1[[#This Row],[ArbejdsTid]]))</f>
        <v/>
      </c>
    </row>
    <row r="20" spans="1:12" ht="15" x14ac:dyDescent="0.25">
      <c r="A20" s="166" t="s">
        <v>68</v>
      </c>
      <c r="B20" s="166"/>
      <c r="C20" s="136"/>
      <c r="D20" s="136"/>
      <c r="E20" s="137">
        <f>SUM(E13:E19)</f>
        <v>1.5625</v>
      </c>
      <c r="F20" s="138">
        <f>T.!F9</f>
        <v>1.5416666666666667</v>
      </c>
      <c r="G20" s="139">
        <f>IF(SUM(E14:E20)&lt;=T.!$F$8,"",IF(E20&gt;=T.!$F$10,T.!$C$1,IF(E20&gt;T.!$F$9,E20-T.!$F$9,"")))</f>
        <v>2.0833333333333259E-2</v>
      </c>
      <c r="H20" s="139" t="str">
        <f>IF(E20&gt;T.!$F$10,Timesedel!E20-T.!$F$10,"0")</f>
        <v>0</v>
      </c>
      <c r="I20" s="139"/>
      <c r="J20" s="140"/>
      <c r="K20" s="140"/>
      <c r="L20" s="139">
        <f>SUM(L13:L19)</f>
        <v>1.9125000000000001</v>
      </c>
    </row>
    <row r="21" spans="1:12" ht="15" x14ac:dyDescent="0.2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1:12" ht="15" x14ac:dyDescent="0.2">
      <c r="A22" s="111" t="str">
        <f>PROPER(TEXT(WEEKDAY(B22,1),"DDDD"))</f>
        <v>Mandag</v>
      </c>
      <c r="B22" s="112">
        <f>B19+1</f>
        <v>43780</v>
      </c>
      <c r="C22" s="113">
        <v>0.29166666666666669</v>
      </c>
      <c r="D22" s="113">
        <v>0.625</v>
      </c>
      <c r="E22" s="114">
        <f>IF(OR(C22="",D22=""),"0:0",D22-C22+(C22&gt;D22))</f>
        <v>0.33333333333333331</v>
      </c>
      <c r="F22" s="115"/>
      <c r="G22" s="115"/>
      <c r="H22" s="115"/>
      <c r="I22" s="115"/>
      <c r="J22" s="116"/>
      <c r="K22" s="116"/>
      <c r="L22" s="115">
        <f>E22</f>
        <v>0.33333333333333331</v>
      </c>
    </row>
    <row r="23" spans="1:12" ht="15" x14ac:dyDescent="0.2">
      <c r="A23" s="117" t="str">
        <f t="shared" ref="A23:A28" si="3">PROPER(TEXT(WEEKDAY(B23,1),"DDDD"))</f>
        <v>Tirsdag</v>
      </c>
      <c r="B23" s="118">
        <f>B22+1</f>
        <v>43781</v>
      </c>
      <c r="C23" s="119">
        <v>0.25</v>
      </c>
      <c r="D23" s="119">
        <v>0.77083333333333337</v>
      </c>
      <c r="E23" s="120">
        <f>IF(OR(C23="",D23=""),"0:0",D23-C23+(C23&gt;D23))</f>
        <v>0.52083333333333337</v>
      </c>
      <c r="F23" s="121"/>
      <c r="G23" s="121"/>
      <c r="H23" s="121"/>
      <c r="I23" s="121"/>
      <c r="J23" s="122"/>
      <c r="K23" s="122"/>
      <c r="L23" s="135">
        <f>E23</f>
        <v>0.52083333333333337</v>
      </c>
    </row>
    <row r="24" spans="1:12" ht="15" x14ac:dyDescent="0.25">
      <c r="A24" s="123" t="str">
        <f t="shared" si="3"/>
        <v>Onsdag</v>
      </c>
      <c r="B24" s="118">
        <f t="shared" ref="B24:B28" si="4">B23+1</f>
        <v>43782</v>
      </c>
      <c r="C24" s="113">
        <v>0.25</v>
      </c>
      <c r="D24" s="113">
        <v>0.55833333333333335</v>
      </c>
      <c r="E24" s="114">
        <f t="shared" ref="E24:E25" si="5">IF(OR(C24="",D24=""),"0:0",D24-C24+(C24&gt;D24))</f>
        <v>0.30833333333333335</v>
      </c>
      <c r="F24" s="115"/>
      <c r="G24" s="115"/>
      <c r="H24" s="115"/>
      <c r="I24" s="115"/>
      <c r="J24" s="124"/>
      <c r="K24" s="116"/>
      <c r="L24" s="115">
        <f>E24</f>
        <v>0.30833333333333335</v>
      </c>
    </row>
    <row r="25" spans="1:12" ht="15" x14ac:dyDescent="0.2">
      <c r="A25" s="117" t="str">
        <f t="shared" si="3"/>
        <v>Torsdag</v>
      </c>
      <c r="B25" s="118">
        <f t="shared" si="4"/>
        <v>43783</v>
      </c>
      <c r="C25" s="119">
        <v>0.25</v>
      </c>
      <c r="D25" s="119">
        <v>0.75</v>
      </c>
      <c r="E25" s="120">
        <f t="shared" si="5"/>
        <v>0.5</v>
      </c>
      <c r="F25" s="121"/>
      <c r="G25" s="121"/>
      <c r="H25" s="121"/>
      <c r="I25" s="121"/>
      <c r="J25" s="122"/>
      <c r="K25" s="122"/>
      <c r="L25" s="135">
        <f t="shared" ref="L25:L28" si="6">E25</f>
        <v>0.5</v>
      </c>
    </row>
    <row r="26" spans="1:12" ht="15" x14ac:dyDescent="0.2">
      <c r="A26" s="111" t="str">
        <f t="shared" si="3"/>
        <v>Fredag</v>
      </c>
      <c r="B26" s="118">
        <f t="shared" si="4"/>
        <v>43784</v>
      </c>
      <c r="C26" s="113"/>
      <c r="D26" s="113"/>
      <c r="E26" s="114" t="str">
        <f>IF(OR(C26="",D26=""),"00:00",D26-C26+(C26&gt;D26))</f>
        <v>00:00</v>
      </c>
      <c r="F26" s="115"/>
      <c r="G26" s="115"/>
      <c r="H26" s="115"/>
      <c r="I26" s="115"/>
      <c r="J26" s="116"/>
      <c r="K26" s="116"/>
      <c r="L26" s="115" t="str">
        <f t="shared" si="6"/>
        <v>00:00</v>
      </c>
    </row>
    <row r="27" spans="1:12" ht="15" x14ac:dyDescent="0.2">
      <c r="A27" s="117" t="str">
        <f t="shared" si="3"/>
        <v>Lørdag</v>
      </c>
      <c r="B27" s="118">
        <f t="shared" si="4"/>
        <v>43785</v>
      </c>
      <c r="C27" s="119"/>
      <c r="D27" s="119"/>
      <c r="E27" s="120" t="str">
        <f>IF(OR(C27="",D27=""),"00:00",D27-C27+(C27&gt;D27))</f>
        <v>00:00</v>
      </c>
      <c r="F27" s="121"/>
      <c r="G27" s="121"/>
      <c r="H27" s="121"/>
      <c r="I27" s="121"/>
      <c r="J27" s="122"/>
      <c r="K27" s="122"/>
      <c r="L27" s="135" t="str">
        <f t="shared" si="6"/>
        <v>00:00</v>
      </c>
    </row>
    <row r="28" spans="1:12" ht="15.75" thickBot="1" x14ac:dyDescent="0.25">
      <c r="A28" s="141" t="str">
        <f t="shared" si="3"/>
        <v>Søndag</v>
      </c>
      <c r="B28" s="142">
        <f t="shared" si="4"/>
        <v>43786</v>
      </c>
      <c r="C28" s="143"/>
      <c r="D28" s="143"/>
      <c r="E28" s="144" t="str">
        <f>IF(OR(C28="",D28=""),"00:00",D28-C28+(C28&gt;D28))</f>
        <v>00:00</v>
      </c>
      <c r="F28" s="145"/>
      <c r="G28" s="145"/>
      <c r="H28" s="145"/>
      <c r="I28" s="145"/>
      <c r="J28" s="146"/>
      <c r="K28" s="146"/>
      <c r="L28" s="145" t="str">
        <f t="shared" si="6"/>
        <v>00:00</v>
      </c>
    </row>
    <row r="29" spans="1:12" ht="15" x14ac:dyDescent="0.25">
      <c r="A29" s="166" t="s">
        <v>68</v>
      </c>
      <c r="B29" s="166"/>
      <c r="C29" s="136"/>
      <c r="D29" s="136"/>
      <c r="E29" s="137">
        <f>SUM(E22:E28)</f>
        <v>1.6625000000000001</v>
      </c>
      <c r="F29" s="138">
        <f>T.!F9</f>
        <v>1.5416666666666667</v>
      </c>
      <c r="G29" s="139">
        <f>IF(SUM(E23:E29)&lt;=T.!F8,"",IF(E29&gt;=T.!$F$10,T.!$C$1,IF(E29&gt;T.!$F$9,E29-T.!$F$9,"")))</f>
        <v>0.12083333333333335</v>
      </c>
      <c r="H29" s="139" t="str">
        <f>IF(E29&gt;T.!$F$10,Timesedel!E29-T.!$F$10,"0")</f>
        <v>0</v>
      </c>
      <c r="I29" s="139"/>
      <c r="J29" s="140"/>
      <c r="K29" s="140"/>
      <c r="L29" s="139">
        <f>SUM(L22:L28)</f>
        <v>1.6625000000000001</v>
      </c>
    </row>
    <row r="30" spans="1:12" ht="15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</row>
    <row r="31" spans="1:12" ht="15" x14ac:dyDescent="0.25">
      <c r="A31" s="163" t="s">
        <v>68</v>
      </c>
      <c r="B31" s="163"/>
      <c r="C31" s="134"/>
      <c r="D31" s="134"/>
      <c r="E31" s="120">
        <f>E20+E29</f>
        <v>3.2250000000000001</v>
      </c>
      <c r="F31" s="120"/>
      <c r="G31" s="120">
        <f t="shared" ref="G31" si="7">G20+G29</f>
        <v>0.14166666666666661</v>
      </c>
      <c r="H31" s="120">
        <f t="shared" ref="H31:K31" si="8">H20+H29</f>
        <v>0</v>
      </c>
      <c r="I31" s="120">
        <f t="shared" si="8"/>
        <v>0</v>
      </c>
      <c r="J31" s="120">
        <f t="shared" si="8"/>
        <v>0</v>
      </c>
      <c r="K31" s="120">
        <f t="shared" si="8"/>
        <v>0</v>
      </c>
      <c r="L31" s="134"/>
    </row>
    <row r="32" spans="1:12" ht="15" x14ac:dyDescent="0.25">
      <c r="A32" s="163" t="s">
        <v>67</v>
      </c>
      <c r="B32" s="163"/>
      <c r="C32" s="134"/>
      <c r="D32" s="134"/>
      <c r="E32" s="125">
        <f>E31*24</f>
        <v>77.400000000000006</v>
      </c>
      <c r="F32" s="125"/>
      <c r="G32" s="125">
        <f t="shared" ref="G32" si="9">G31*24</f>
        <v>3.3999999999999986</v>
      </c>
      <c r="H32" s="125">
        <f t="shared" ref="H32" si="10">H31*24</f>
        <v>0</v>
      </c>
      <c r="I32" s="125">
        <f t="shared" ref="I32" si="11">I31*24</f>
        <v>0</v>
      </c>
      <c r="J32" s="125">
        <f t="shared" ref="J32" si="12">J31*24</f>
        <v>0</v>
      </c>
      <c r="K32" s="125">
        <f t="shared" ref="K32" si="13">K31*24</f>
        <v>0</v>
      </c>
      <c r="L32" s="134"/>
    </row>
    <row r="33" spans="1:12" ht="15" x14ac:dyDescent="0.2">
      <c r="A33" s="126"/>
      <c r="B33" s="127" t="s">
        <v>51</v>
      </c>
      <c r="C33" s="127"/>
      <c r="D33" s="127"/>
      <c r="E33" s="128">
        <f>T.!A2</f>
        <v>155.25</v>
      </c>
      <c r="F33" s="129"/>
      <c r="G33" s="128">
        <f>T.!A3</f>
        <v>37.550000000000011</v>
      </c>
      <c r="H33" s="128">
        <f>T.!A4</f>
        <v>92.22999999999999</v>
      </c>
      <c r="I33" s="128">
        <v>92.23</v>
      </c>
      <c r="J33" s="128">
        <v>155.25</v>
      </c>
      <c r="K33" s="128">
        <v>155.25</v>
      </c>
      <c r="L33" s="130"/>
    </row>
    <row r="34" spans="1:12" ht="15" x14ac:dyDescent="0.2">
      <c r="A34" s="131"/>
      <c r="B34" s="84" t="s">
        <v>52</v>
      </c>
      <c r="C34" s="84"/>
      <c r="D34" s="84"/>
      <c r="E34" s="132">
        <f>E32*E33</f>
        <v>12016.35</v>
      </c>
      <c r="F34" s="133"/>
      <c r="G34" s="132">
        <f t="shared" ref="G34:K34" si="14">G32*G33</f>
        <v>127.66999999999999</v>
      </c>
      <c r="H34" s="132">
        <f t="shared" si="14"/>
        <v>0</v>
      </c>
      <c r="I34" s="132">
        <f t="shared" si="14"/>
        <v>0</v>
      </c>
      <c r="J34" s="132">
        <f t="shared" si="14"/>
        <v>0</v>
      </c>
      <c r="K34" s="132">
        <f t="shared" si="14"/>
        <v>0</v>
      </c>
      <c r="L34" s="132">
        <f>SUM(E34:K34)</f>
        <v>12144.02</v>
      </c>
    </row>
  </sheetData>
  <mergeCells count="15">
    <mergeCell ref="A31:B31"/>
    <mergeCell ref="A32:B32"/>
    <mergeCell ref="A9:B9"/>
    <mergeCell ref="C9:G9"/>
    <mergeCell ref="I9:K9"/>
    <mergeCell ref="A20:B20"/>
    <mergeCell ref="A29:B29"/>
    <mergeCell ref="A8:B8"/>
    <mergeCell ref="C8:G8"/>
    <mergeCell ref="I8:K8"/>
    <mergeCell ref="A1:L1"/>
    <mergeCell ref="A2:J2"/>
    <mergeCell ref="A7:B7"/>
    <mergeCell ref="C7:G7"/>
    <mergeCell ref="I7:K7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3</vt:i4>
      </vt:variant>
    </vt:vector>
  </HeadingPairs>
  <TitlesOfParts>
    <vt:vector size="7" baseType="lpstr">
      <vt:lpstr>Timesedel</vt:lpstr>
      <vt:lpstr>T.</vt:lpstr>
      <vt:lpstr>Lønsedel</vt:lpstr>
      <vt:lpstr>Ark1</vt:lpstr>
      <vt:lpstr>'Ark1'!Udskriftsområde</vt:lpstr>
      <vt:lpstr>Lønsedel!Udskriftsområde</vt:lpstr>
      <vt:lpstr>Timesedel!Udskriftsområde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 Madsen</dc:creator>
  <cp:lastModifiedBy>Bjarne Hansen</cp:lastModifiedBy>
  <cp:lastPrinted>2019-11-23T14:59:26Z</cp:lastPrinted>
  <dcterms:created xsi:type="dcterms:W3CDTF">2010-12-24T08:57:16Z</dcterms:created>
  <dcterms:modified xsi:type="dcterms:W3CDTF">2019-11-23T21:39:59Z</dcterms:modified>
</cp:coreProperties>
</file>